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Catalog2\ECC\Ebooks\Titles available\Ebook Central\Triggered_Titles_2020\"/>
    </mc:Choice>
  </mc:AlternateContent>
  <bookViews>
    <workbookView xWindow="0" yWindow="0" windowWidth="28800" windowHeight="12300"/>
  </bookViews>
  <sheets>
    <sheet name="ExpenditureReport_799491" sheetId="1" r:id="rId1"/>
  </sheets>
  <calcPr calcId="0"/>
</workbook>
</file>

<file path=xl/calcChain.xml><?xml version="1.0" encoding="utf-8"?>
<calcChain xmlns="http://schemas.openxmlformats.org/spreadsheetml/2006/main">
  <c r="G2938" i="1" l="1"/>
  <c r="G1253" i="1"/>
  <c r="G617" i="1"/>
  <c r="G3374" i="1"/>
  <c r="G2260" i="1"/>
  <c r="G3444" i="1"/>
  <c r="G8" i="1"/>
  <c r="G3460" i="1"/>
  <c r="G1057" i="1"/>
  <c r="G2739" i="1"/>
  <c r="G49" i="1"/>
  <c r="G3691" i="1"/>
  <c r="G1236" i="1"/>
  <c r="G652" i="1"/>
  <c r="G2498" i="1"/>
  <c r="G3168" i="1"/>
  <c r="G490" i="1"/>
  <c r="G268" i="1"/>
  <c r="G2295" i="1"/>
  <c r="G2833" i="1"/>
  <c r="G598" i="1"/>
  <c r="G2485" i="1"/>
  <c r="G777" i="1"/>
  <c r="G1593" i="1"/>
  <c r="G1396" i="1"/>
  <c r="G2533" i="1"/>
  <c r="G3585" i="1"/>
  <c r="G1996" i="1"/>
  <c r="G1967" i="1"/>
  <c r="G291" i="1"/>
  <c r="G2217" i="1"/>
  <c r="G692" i="1"/>
  <c r="G950" i="1"/>
  <c r="G1436" i="1"/>
  <c r="G3408" i="1"/>
  <c r="G3696" i="1"/>
  <c r="G1941" i="1"/>
  <c r="G998" i="1"/>
  <c r="G1849" i="1"/>
  <c r="G1097" i="1"/>
  <c r="G99" i="1"/>
  <c r="G754" i="1"/>
  <c r="G2855" i="1"/>
  <c r="G1586" i="1"/>
  <c r="G1850" i="1"/>
  <c r="G3847" i="1"/>
  <c r="G3738" i="1"/>
  <c r="G2052" i="1"/>
  <c r="G3956" i="1"/>
  <c r="G1662" i="1"/>
  <c r="G1154" i="1"/>
  <c r="G3271" i="1"/>
  <c r="G1538" i="1"/>
  <c r="G1118" i="1"/>
  <c r="G1111" i="1"/>
  <c r="G2789" i="1"/>
  <c r="G3739" i="1"/>
  <c r="G2625" i="1"/>
  <c r="G342" i="1"/>
  <c r="G2264" i="1"/>
  <c r="G774" i="1"/>
  <c r="G731" i="1"/>
  <c r="G641" i="1"/>
  <c r="G2708" i="1"/>
  <c r="G1463" i="1"/>
  <c r="G2658" i="1"/>
  <c r="G295" i="1"/>
  <c r="G655" i="1"/>
  <c r="G1183" i="1"/>
  <c r="G2440" i="1"/>
  <c r="G3595" i="1"/>
  <c r="G1922" i="1"/>
  <c r="G3510" i="1"/>
  <c r="G2277" i="1"/>
  <c r="G904" i="1"/>
  <c r="G355" i="1"/>
  <c r="G1425" i="1"/>
  <c r="G1582" i="1"/>
  <c r="G3975" i="1"/>
  <c r="G2092" i="1"/>
  <c r="G202" i="1"/>
  <c r="G143" i="1"/>
  <c r="G1526" i="1"/>
  <c r="G1167" i="1"/>
  <c r="G1081" i="1"/>
  <c r="G275" i="1"/>
  <c r="G516" i="1"/>
  <c r="G3480" i="1"/>
  <c r="G122" i="1"/>
  <c r="G2899" i="1"/>
  <c r="G3312" i="1"/>
  <c r="G1026" i="1"/>
  <c r="G2189" i="1"/>
  <c r="G3619" i="1"/>
  <c r="G3185" i="1"/>
  <c r="G672" i="1"/>
  <c r="G2885" i="1"/>
  <c r="G2903" i="1"/>
  <c r="G3206" i="1"/>
  <c r="G2746" i="1"/>
  <c r="G2379" i="1"/>
  <c r="G2359" i="1"/>
  <c r="G277" i="1"/>
  <c r="G2253" i="1"/>
  <c r="G3074" i="1"/>
  <c r="G2467" i="1"/>
  <c r="G2857" i="1"/>
  <c r="G2613" i="1"/>
  <c r="G1322" i="1"/>
  <c r="G528" i="1"/>
  <c r="G2114" i="1"/>
  <c r="G662" i="1"/>
  <c r="G730" i="1"/>
  <c r="G2946" i="1"/>
  <c r="G1851" i="1"/>
  <c r="G1059" i="1"/>
  <c r="G3737" i="1"/>
  <c r="G892" i="1"/>
  <c r="G2483" i="1"/>
  <c r="G2053" i="1"/>
  <c r="G3818" i="1"/>
  <c r="G322" i="1"/>
  <c r="G1465" i="1"/>
  <c r="G756" i="1"/>
  <c r="G2626" i="1"/>
  <c r="G2314" i="1"/>
  <c r="G3966" i="1"/>
  <c r="G3330" i="1"/>
  <c r="G2278" i="1"/>
  <c r="G1655" i="1"/>
  <c r="G270" i="1"/>
  <c r="G2322" i="1"/>
  <c r="G3968" i="1"/>
  <c r="G912" i="1"/>
  <c r="G1739" i="1"/>
  <c r="G2466" i="1"/>
  <c r="G419" i="1"/>
  <c r="G1510" i="1"/>
  <c r="G2301" i="1"/>
  <c r="G384" i="1"/>
  <c r="G1762" i="1"/>
  <c r="G768" i="1"/>
  <c r="G3825" i="1"/>
  <c r="G1251" i="1"/>
  <c r="G742" i="1"/>
  <c r="G1077" i="1"/>
  <c r="G1337" i="1"/>
  <c r="G286" i="1"/>
  <c r="G3023" i="1"/>
  <c r="G3535" i="1"/>
  <c r="G2077" i="1"/>
  <c r="G569" i="1"/>
  <c r="G1232" i="1"/>
  <c r="G1523" i="1"/>
  <c r="G3213" i="1"/>
  <c r="G1508" i="1"/>
  <c r="G3716" i="1"/>
  <c r="G2538" i="1"/>
  <c r="G547" i="1"/>
  <c r="G258" i="1"/>
  <c r="G2869" i="1"/>
  <c r="G602" i="1"/>
  <c r="G3889" i="1"/>
  <c r="G3435" i="1"/>
  <c r="G615" i="1"/>
  <c r="G2086" i="1"/>
  <c r="G1514" i="1"/>
  <c r="G3495" i="1"/>
  <c r="G819" i="1"/>
  <c r="G2202" i="1"/>
  <c r="G3348" i="1"/>
  <c r="G3426" i="1"/>
  <c r="G2407" i="1"/>
  <c r="G3826" i="1"/>
  <c r="G3161" i="1"/>
  <c r="G3484" i="1"/>
  <c r="G1110" i="1"/>
  <c r="G3791" i="1"/>
  <c r="G2007" i="1"/>
  <c r="G3464" i="1"/>
  <c r="G3024" i="1"/>
  <c r="G1272" i="1"/>
  <c r="G766" i="1"/>
  <c r="G681" i="1"/>
  <c r="G3914" i="1"/>
  <c r="G2926" i="1"/>
  <c r="G3541" i="1"/>
  <c r="G3471" i="1"/>
  <c r="G1694" i="1"/>
  <c r="G18" i="1"/>
  <c r="G1361" i="1"/>
  <c r="G3887" i="1"/>
  <c r="G3938" i="1"/>
  <c r="G2472" i="1"/>
  <c r="G462" i="1"/>
  <c r="G1583" i="1"/>
  <c r="G3664" i="1"/>
  <c r="G3197" i="1"/>
  <c r="G558" i="1"/>
  <c r="G3418" i="1"/>
  <c r="G2622" i="1"/>
  <c r="G3623" i="1"/>
  <c r="G2577" i="1"/>
  <c r="G629" i="1"/>
  <c r="G668" i="1"/>
  <c r="G239" i="1"/>
  <c r="G3762" i="1"/>
  <c r="G461" i="1"/>
  <c r="G1723" i="1"/>
  <c r="G523" i="1"/>
  <c r="G403" i="1"/>
  <c r="G1638" i="1"/>
  <c r="G3579" i="1"/>
  <c r="G1561" i="1"/>
  <c r="G3465" i="1"/>
  <c r="G188" i="1"/>
  <c r="G721" i="1"/>
  <c r="G2889" i="1"/>
  <c r="G3212" i="1"/>
  <c r="G3965" i="1"/>
  <c r="G635" i="1"/>
  <c r="G3572" i="1"/>
  <c r="G3255" i="1"/>
  <c r="G3277" i="1"/>
  <c r="G1819" i="1"/>
  <c r="G624" i="1"/>
  <c r="G1197" i="1"/>
  <c r="G2334" i="1"/>
  <c r="G1105" i="1"/>
  <c r="G1120" i="1"/>
  <c r="G806" i="1"/>
  <c r="G1098" i="1"/>
  <c r="G719" i="1"/>
  <c r="G3352" i="1"/>
  <c r="G920" i="1"/>
  <c r="G1821" i="1"/>
  <c r="G1832" i="1"/>
  <c r="G67" i="1"/>
  <c r="G2326" i="1"/>
  <c r="G2971" i="1"/>
  <c r="G61" i="1"/>
  <c r="G2225" i="1"/>
  <c r="G3049" i="1"/>
  <c r="G3439" i="1"/>
  <c r="G400" i="1"/>
  <c r="G2590" i="1"/>
  <c r="G2097" i="1"/>
  <c r="G2695" i="1"/>
  <c r="G3328" i="1"/>
  <c r="G3115" i="1"/>
  <c r="G866" i="1"/>
  <c r="G884" i="1"/>
  <c r="G3083" i="1"/>
  <c r="G2878" i="1"/>
  <c r="G2344" i="1"/>
  <c r="G890" i="1"/>
  <c r="G3955" i="1"/>
  <c r="G1776" i="1"/>
  <c r="G2965" i="1"/>
  <c r="G189" i="1"/>
  <c r="G158" i="1"/>
  <c r="G3232" i="1"/>
  <c r="G2265" i="1"/>
  <c r="G702" i="1"/>
  <c r="G2317" i="1"/>
  <c r="G89" i="1"/>
  <c r="G2372" i="1"/>
  <c r="G3748" i="1"/>
  <c r="G1500" i="1"/>
  <c r="G2526" i="1"/>
  <c r="G3204" i="1"/>
  <c r="G1782" i="1"/>
  <c r="G3193" i="1"/>
  <c r="G3670" i="1"/>
  <c r="G2811" i="1"/>
  <c r="G3908" i="1"/>
  <c r="G2685" i="1"/>
  <c r="G3124" i="1"/>
  <c r="G1036" i="1"/>
  <c r="G1829" i="1"/>
  <c r="G2678" i="1"/>
  <c r="G3639" i="1"/>
  <c r="G3324" i="1"/>
  <c r="G2105" i="1"/>
  <c r="G3157" i="1"/>
  <c r="G396" i="1"/>
  <c r="G3164" i="1"/>
  <c r="G3133" i="1"/>
  <c r="G1045" i="1"/>
  <c r="G649" i="1"/>
  <c r="G2581" i="1"/>
  <c r="G3128" i="1"/>
  <c r="G3680" i="1"/>
  <c r="G630" i="1"/>
  <c r="G1053" i="1"/>
  <c r="G620" i="1"/>
  <c r="G2701" i="1"/>
  <c r="G3449" i="1"/>
  <c r="G3822" i="1"/>
  <c r="G2324" i="1"/>
  <c r="G2300" i="1"/>
  <c r="G222" i="1"/>
  <c r="G3712" i="1"/>
  <c r="G2810" i="1"/>
  <c r="G3715" i="1"/>
  <c r="G3239" i="1"/>
  <c r="G1566" i="1"/>
  <c r="G251" i="1"/>
  <c r="G2094" i="1"/>
  <c r="G1431" i="1"/>
  <c r="G2408" i="1"/>
  <c r="G1820" i="1"/>
  <c r="G3375" i="1"/>
  <c r="G2185" i="1"/>
  <c r="G253" i="1"/>
  <c r="G40" i="1"/>
  <c r="G1889" i="1"/>
  <c r="G1685" i="1"/>
  <c r="G1786" i="1"/>
  <c r="G914" i="1"/>
  <c r="G113" i="1"/>
  <c r="G1023" i="1"/>
  <c r="G2068" i="1"/>
  <c r="G45" i="1"/>
  <c r="G3012" i="1"/>
  <c r="G883" i="1"/>
  <c r="G471" i="1"/>
  <c r="G874" i="1"/>
  <c r="G1087" i="1"/>
  <c r="G3053" i="1"/>
  <c r="G2967" i="1"/>
  <c r="G622" i="1"/>
  <c r="G2320" i="1"/>
  <c r="G2867" i="1"/>
  <c r="G3663" i="1"/>
  <c r="G1903" i="1"/>
  <c r="G248" i="1"/>
  <c r="G3549" i="1"/>
  <c r="G1499" i="1"/>
  <c r="G2784" i="1"/>
  <c r="G3045" i="1"/>
  <c r="G3660" i="1"/>
  <c r="G3266" i="1"/>
  <c r="G1545" i="1"/>
  <c r="G2302" i="1"/>
  <c r="G2864" i="1"/>
  <c r="G312" i="1"/>
  <c r="G3637" i="1"/>
  <c r="G2675" i="1"/>
  <c r="G2702" i="1"/>
  <c r="G1434" i="1"/>
  <c r="G1211" i="1"/>
  <c r="G2444" i="1"/>
  <c r="G3454" i="1"/>
  <c r="G3749" i="1"/>
  <c r="G1199" i="1"/>
  <c r="G1949" i="1"/>
  <c r="G1643" i="1"/>
  <c r="G466" i="1"/>
  <c r="G3675" i="1"/>
  <c r="G964" i="1"/>
  <c r="G3313" i="1"/>
  <c r="G1649" i="1"/>
  <c r="G2883" i="1"/>
  <c r="G6" i="1"/>
  <c r="G1584" i="1"/>
  <c r="G2844" i="1"/>
  <c r="G2461" i="1"/>
  <c r="G689" i="1"/>
  <c r="G3641" i="1"/>
  <c r="G1937" i="1"/>
  <c r="G1682" i="1"/>
  <c r="G1378" i="1"/>
  <c r="G3578" i="1"/>
  <c r="G589" i="1"/>
  <c r="G3209" i="1"/>
  <c r="G1957" i="1"/>
  <c r="G1768" i="1"/>
  <c r="G954" i="1"/>
  <c r="G3693" i="1"/>
  <c r="G376" i="1"/>
  <c r="G2487" i="1"/>
  <c r="G316" i="1"/>
  <c r="G428" i="1"/>
  <c r="G1326" i="1"/>
  <c r="G37" i="1"/>
  <c r="G2993" i="1"/>
  <c r="G1079" i="1"/>
  <c r="G2013" i="1"/>
  <c r="G2796" i="1"/>
  <c r="G1255" i="1"/>
  <c r="G956" i="1"/>
  <c r="G1923" i="1"/>
  <c r="G536" i="1"/>
  <c r="G3763" i="1"/>
  <c r="G1214" i="1"/>
  <c r="G3114" i="1"/>
  <c r="G607" i="1"/>
  <c r="G2039" i="1"/>
  <c r="G2223" i="1"/>
  <c r="G3864" i="1"/>
  <c r="G1645" i="1"/>
  <c r="G3087" i="1"/>
  <c r="G2258" i="1"/>
  <c r="G3793" i="1"/>
  <c r="G1843" i="1"/>
  <c r="G1718" i="1"/>
  <c r="G3533" i="1"/>
  <c r="G1260" i="1"/>
  <c r="G2929" i="1"/>
  <c r="G1195" i="1"/>
  <c r="G2615" i="1"/>
  <c r="G1067" i="1"/>
  <c r="G2443" i="1"/>
  <c r="G1705" i="1"/>
  <c r="G1201" i="1"/>
  <c r="G3104" i="1"/>
  <c r="G574" i="1"/>
  <c r="G3567" i="1"/>
  <c r="G3428" i="1"/>
  <c r="G1576" i="1"/>
  <c r="G10" i="1"/>
  <c r="G3194" i="1"/>
  <c r="G2349" i="1"/>
  <c r="G921" i="1"/>
  <c r="G2209" i="1"/>
  <c r="G194" i="1"/>
  <c r="G3704" i="1"/>
  <c r="G1747" i="1"/>
  <c r="G1703" i="1"/>
  <c r="G2989" i="1"/>
  <c r="G3837" i="1"/>
  <c r="G1961" i="1"/>
  <c r="G1695" i="1"/>
  <c r="G3556" i="1"/>
  <c r="G1524" i="1"/>
  <c r="G2003" i="1"/>
  <c r="G2679" i="1"/>
  <c r="G1193" i="1"/>
  <c r="G2130" i="1"/>
  <c r="G11" i="1"/>
  <c r="G3530" i="1"/>
  <c r="G215" i="1"/>
  <c r="G3539" i="1"/>
  <c r="G2866" i="1"/>
  <c r="G1096" i="1"/>
  <c r="G2351" i="1"/>
  <c r="G2215" i="1"/>
  <c r="G2060" i="1"/>
  <c r="G507" i="1"/>
  <c r="G3708" i="1"/>
  <c r="G534" i="1"/>
  <c r="G2580" i="1"/>
  <c r="G2955" i="1"/>
  <c r="G77" i="1"/>
  <c r="G3690" i="1"/>
  <c r="G1795" i="1"/>
  <c r="G3767" i="1"/>
  <c r="G2727" i="1"/>
  <c r="G3218" i="1"/>
  <c r="G1166" i="1"/>
  <c r="G1429" i="1"/>
  <c r="G3905" i="1"/>
  <c r="G3000" i="1"/>
  <c r="G2684" i="1"/>
  <c r="G3263" i="1"/>
  <c r="G2780" i="1"/>
  <c r="G2840" i="1"/>
  <c r="G3258" i="1"/>
  <c r="G1030" i="1"/>
  <c r="G3520" i="1"/>
  <c r="G1185" i="1"/>
  <c r="G792" i="1"/>
  <c r="G1074" i="1"/>
  <c r="G963" i="1"/>
  <c r="G1376" i="1"/>
  <c r="G1486" i="1"/>
  <c r="G1237" i="1"/>
  <c r="G2486" i="1"/>
  <c r="G2537" i="1"/>
  <c r="G3146" i="1"/>
  <c r="G3198" i="1"/>
  <c r="G2651" i="1"/>
  <c r="G2940" i="1"/>
  <c r="G2728" i="1"/>
  <c r="G1065" i="1"/>
  <c r="G1302" i="1"/>
  <c r="G678" i="1"/>
  <c r="G1981" i="1"/>
  <c r="G2683" i="1"/>
  <c r="G2593" i="1"/>
  <c r="G2274" i="1"/>
  <c r="G3816" i="1"/>
  <c r="G2862" i="1"/>
  <c r="G899" i="1"/>
  <c r="G272" i="1"/>
  <c r="G3273" i="1"/>
  <c r="G913" i="1"/>
  <c r="G1147" i="1"/>
  <c r="G1954" i="1"/>
  <c r="G1624" i="1"/>
  <c r="G1005" i="1"/>
  <c r="G1856" i="1"/>
  <c r="G1623" i="1"/>
  <c r="G3159" i="1"/>
  <c r="G341" i="1"/>
  <c r="G391" i="1"/>
  <c r="G698" i="1"/>
  <c r="G633" i="1"/>
  <c r="G586" i="1"/>
  <c r="G281" i="1"/>
  <c r="G606" i="1"/>
  <c r="G1383" i="1"/>
  <c r="G1384" i="1"/>
  <c r="G707" i="1"/>
  <c r="G199" i="1"/>
  <c r="G3033" i="1"/>
  <c r="G23" i="1"/>
  <c r="G2892" i="1"/>
  <c r="G136" i="1"/>
  <c r="G1224" i="1"/>
  <c r="G3961" i="1"/>
  <c r="G317" i="1"/>
  <c r="G900" i="1"/>
  <c r="G1637" i="1"/>
  <c r="G260" i="1"/>
  <c r="G276" i="1"/>
  <c r="G2230" i="1"/>
  <c r="G2897" i="1"/>
  <c r="G1028" i="1"/>
  <c r="G2084" i="1"/>
  <c r="G972" i="1"/>
  <c r="G2860" i="1"/>
  <c r="G1092" i="1"/>
  <c r="G682" i="1"/>
  <c r="G2259" i="1"/>
  <c r="G532" i="1"/>
  <c r="G1449" i="1"/>
  <c r="G809" i="1"/>
  <c r="G267" i="1"/>
  <c r="G3451" i="1"/>
  <c r="G3962" i="1"/>
  <c r="G1601" i="1"/>
  <c r="G1876" i="1"/>
  <c r="G3902" i="1"/>
  <c r="G3509" i="1"/>
  <c r="G1995" i="1"/>
  <c r="G3817" i="1"/>
  <c r="G2660" i="1"/>
  <c r="G3584" i="1"/>
  <c r="G2360" i="1"/>
  <c r="G3949" i="1"/>
  <c r="G2914" i="1"/>
  <c r="G1783" i="1"/>
  <c r="G842" i="1"/>
  <c r="G2639" i="1"/>
  <c r="G3195" i="1"/>
  <c r="G527" i="1"/>
  <c r="G3910" i="1"/>
  <c r="G2936" i="1"/>
  <c r="G435" i="1"/>
  <c r="G390" i="1"/>
  <c r="G3163" i="1"/>
  <c r="G3042" i="1"/>
  <c r="G3299" i="1"/>
  <c r="G3016" i="1"/>
  <c r="G3134" i="1"/>
  <c r="G3090" i="1"/>
  <c r="G75" i="1"/>
  <c r="G1446" i="1"/>
  <c r="G1416" i="1"/>
  <c r="G130" i="1"/>
  <c r="G3904" i="1"/>
  <c r="G2270" i="1"/>
  <c r="G3162" i="1"/>
  <c r="G2449" i="1"/>
  <c r="G1011" i="1"/>
  <c r="G3105" i="1"/>
  <c r="G3620" i="1"/>
  <c r="G1992" i="1"/>
  <c r="G3367" i="1"/>
  <c r="G2293" i="1"/>
  <c r="G1454" i="1"/>
  <c r="G313" i="1"/>
  <c r="G2871" i="1"/>
  <c r="G2707" i="1"/>
  <c r="G422" i="1"/>
  <c r="G2279" i="1"/>
  <c r="G1935" i="1"/>
  <c r="G3032" i="1"/>
  <c r="G1369" i="1"/>
  <c r="G3699" i="1"/>
  <c r="G853" i="1"/>
  <c r="G1428" i="1"/>
  <c r="G3431" i="1"/>
  <c r="G2272" i="1"/>
  <c r="G3526" i="1"/>
  <c r="G2933" i="1"/>
  <c r="G2269" i="1"/>
  <c r="G304" i="1"/>
  <c r="G1481" i="1"/>
  <c r="G2100" i="1"/>
  <c r="G3974" i="1"/>
  <c r="G3356" i="1"/>
  <c r="G1962" i="1"/>
  <c r="G1041" i="1"/>
  <c r="G3118" i="1"/>
  <c r="G3318" i="1"/>
  <c r="G2113" i="1"/>
  <c r="G3784" i="1"/>
  <c r="G3289" i="1"/>
  <c r="G65" i="1"/>
  <c r="G2275" i="1"/>
  <c r="G2268" i="1"/>
  <c r="G3805" i="1"/>
  <c r="G930" i="1"/>
  <c r="G3129" i="1"/>
  <c r="G1089" i="1"/>
  <c r="G3251" i="1"/>
  <c r="G2271" i="1"/>
  <c r="G2427" i="1"/>
  <c r="G910" i="1"/>
  <c r="G646" i="1"/>
  <c r="G3235" i="1"/>
  <c r="G3113" i="1"/>
  <c r="G3407" i="1"/>
  <c r="G3565" i="1"/>
  <c r="G298" i="1"/>
  <c r="G121" i="1"/>
  <c r="G235" i="1"/>
  <c r="G2611" i="1"/>
  <c r="G2670" i="1"/>
  <c r="G1881" i="1"/>
  <c r="G1890" i="1"/>
  <c r="G308" i="1"/>
  <c r="G2080" i="1"/>
  <c r="G1798" i="1"/>
  <c r="G3886" i="1"/>
  <c r="G3401" i="1"/>
  <c r="G1811" i="1"/>
  <c r="G3041" i="1"/>
  <c r="G2229" i="1"/>
  <c r="G388" i="1"/>
  <c r="G1278" i="1"/>
  <c r="G1666" i="1"/>
  <c r="G2559" i="1"/>
  <c r="G2925" i="1"/>
  <c r="G841" i="1"/>
  <c r="G3609" i="1"/>
  <c r="G645" i="1"/>
  <c r="G2146" i="1"/>
  <c r="G1707" i="1"/>
  <c r="G3755" i="1"/>
  <c r="G3869" i="1"/>
  <c r="G3398" i="1"/>
  <c r="G1106" i="1"/>
  <c r="G1781" i="1"/>
  <c r="G2865" i="1"/>
  <c r="G1765" i="1"/>
  <c r="G1370" i="1"/>
  <c r="G2342" i="1"/>
  <c r="G2604" i="1"/>
  <c r="G618" i="1"/>
  <c r="G2856" i="1"/>
  <c r="G3423" i="1"/>
  <c r="G995" i="1"/>
  <c r="G3863" i="1"/>
  <c r="G1269" i="1"/>
  <c r="G3082" i="1"/>
  <c r="G2131" i="1"/>
  <c r="G337" i="1"/>
  <c r="G2221" i="1"/>
  <c r="G3399" i="1"/>
  <c r="G2591" i="1"/>
  <c r="G2321" i="1"/>
  <c r="G738" i="1"/>
  <c r="G3139" i="1"/>
  <c r="G3242" i="1"/>
  <c r="G278" i="1"/>
  <c r="G994" i="1"/>
  <c r="G3153" i="1"/>
  <c r="G3350" i="1"/>
  <c r="G3452" i="1"/>
  <c r="G2767" i="1"/>
  <c r="G2024" i="1"/>
  <c r="G909" i="1"/>
  <c r="G1664" i="1"/>
  <c r="G131" i="1"/>
  <c r="G2986" i="1"/>
  <c r="G568" i="1"/>
  <c r="G1998" i="1"/>
  <c r="G2797" i="1"/>
  <c r="G1355" i="1"/>
  <c r="G1421" i="1"/>
  <c r="G1504" i="1"/>
  <c r="G2426" i="1"/>
  <c r="G3802" i="1"/>
  <c r="G2555" i="1"/>
  <c r="G784" i="1"/>
  <c r="G1939" i="1"/>
  <c r="G628" i="1"/>
  <c r="G3396" i="1"/>
  <c r="G1438" i="1"/>
  <c r="G2015" i="1"/>
  <c r="G807" i="1"/>
  <c r="G3106" i="1"/>
  <c r="G3590" i="1"/>
  <c r="G3447" i="1"/>
  <c r="G2065" i="1"/>
  <c r="G2403" i="1"/>
  <c r="G829" i="1"/>
  <c r="G2523" i="1"/>
  <c r="G2437" i="1"/>
  <c r="G97" i="1"/>
  <c r="G2569" i="1"/>
  <c r="G3250" i="1"/>
  <c r="G3971" i="1"/>
  <c r="G1871" i="1"/>
  <c r="G2703" i="1"/>
  <c r="G1735" i="1"/>
  <c r="G2567" i="1"/>
  <c r="G1240" i="1"/>
  <c r="G2168" i="1"/>
  <c r="G2633" i="1"/>
  <c r="G3057" i="1"/>
  <c r="G863" i="1"/>
  <c r="G3211" i="1"/>
  <c r="G2732" i="1"/>
  <c r="G15" i="1"/>
  <c r="G3406" i="1"/>
  <c r="G855" i="1"/>
  <c r="G2186" i="1"/>
  <c r="G1547" i="1"/>
  <c r="G1179" i="1"/>
  <c r="G1498" i="1"/>
  <c r="G301" i="1"/>
  <c r="G2488" i="1"/>
  <c r="G3514" i="1"/>
  <c r="G3659" i="1"/>
  <c r="G3890" i="1"/>
  <c r="G2037" i="1"/>
  <c r="G3207" i="1"/>
  <c r="G3545" i="1"/>
  <c r="G2035" i="1"/>
  <c r="G669" i="1"/>
  <c r="G1222" i="1"/>
  <c r="G3677" i="1"/>
  <c r="G3557" i="1"/>
  <c r="G1473" i="1"/>
  <c r="G725" i="1"/>
  <c r="G1815" i="1"/>
  <c r="G3494" i="1"/>
  <c r="G1466" i="1"/>
  <c r="G3911" i="1"/>
  <c r="G729" i="1"/>
  <c r="G3071" i="1"/>
  <c r="G2183" i="1"/>
  <c r="G2116" i="1"/>
  <c r="G2262" i="1"/>
  <c r="G1408" i="1"/>
  <c r="G1212" i="1"/>
  <c r="G801" i="1"/>
  <c r="G2421" i="1"/>
  <c r="G1680" i="1"/>
  <c r="G1732" i="1"/>
  <c r="G2380" i="1"/>
  <c r="G576" i="1"/>
  <c r="G1757" i="1"/>
  <c r="G3673" i="1"/>
  <c r="G1366" i="1"/>
  <c r="G35" i="1"/>
  <c r="G2190" i="1"/>
  <c r="G2606" i="1"/>
  <c r="G1769" i="1"/>
  <c r="G2204" i="1"/>
  <c r="G2005" i="1"/>
  <c r="G2696" i="1"/>
  <c r="G1690" i="1"/>
  <c r="G708" i="1"/>
  <c r="G182" i="1"/>
  <c r="G115" i="1"/>
  <c r="G279" i="1"/>
  <c r="G3274" i="1"/>
  <c r="G591" i="1"/>
  <c r="G3031" i="1"/>
  <c r="G3573" i="1"/>
  <c r="G1803" i="1"/>
  <c r="G3305" i="1"/>
  <c r="G3136" i="1"/>
  <c r="G1737" i="1"/>
  <c r="G2376" i="1"/>
  <c r="G1557" i="1"/>
  <c r="G269" i="1"/>
  <c r="G3068" i="1"/>
  <c r="G715" i="1"/>
  <c r="G1963" i="1"/>
  <c r="G1672" i="1"/>
  <c r="G1512" i="1"/>
  <c r="G2323" i="1"/>
  <c r="G171" i="1"/>
  <c r="G1516" i="1"/>
  <c r="G237" i="1"/>
  <c r="G1196" i="1"/>
  <c r="G1176" i="1"/>
  <c r="G1833" i="1"/>
  <c r="G823" i="1"/>
  <c r="G3833" i="1"/>
  <c r="G3417" i="1"/>
  <c r="G3973" i="1"/>
  <c r="G3059" i="1"/>
  <c r="G2016" i="1"/>
  <c r="G369" i="1"/>
  <c r="G3776" i="1"/>
  <c r="G530" i="1"/>
  <c r="G399" i="1"/>
  <c r="G3607" i="1"/>
  <c r="G3102" i="1"/>
  <c r="G3304" i="1"/>
  <c r="G3117" i="1"/>
  <c r="G1351" i="1"/>
  <c r="G2207" i="1"/>
  <c r="G1654" i="1"/>
  <c r="G644" i="1"/>
  <c r="G2476" i="1"/>
  <c r="G2232" i="1"/>
  <c r="G2125" i="1"/>
  <c r="G2289" i="1"/>
  <c r="G1522" i="1"/>
  <c r="G1056" i="1"/>
  <c r="G951" i="1"/>
  <c r="G320" i="1"/>
  <c r="G1753" i="1"/>
  <c r="G2042" i="1"/>
  <c r="G2848" i="1"/>
  <c r="G3187" i="1"/>
  <c r="G758" i="1"/>
  <c r="G1462" i="1"/>
  <c r="G1968" i="1"/>
  <c r="G2333" i="1"/>
  <c r="G3695" i="1"/>
  <c r="G3099" i="1"/>
  <c r="G1246" i="1"/>
  <c r="G330" i="1"/>
  <c r="G3617" i="1"/>
  <c r="G1603" i="1"/>
  <c r="G3702" i="1"/>
  <c r="G3147" i="1"/>
  <c r="G1377" i="1"/>
  <c r="G3293" i="1"/>
  <c r="G515" i="1"/>
  <c r="G2378" i="1"/>
  <c r="G2705" i="1"/>
  <c r="G2868" i="1"/>
  <c r="G1015" i="1"/>
  <c r="G1898" i="1"/>
  <c r="G1458" i="1"/>
  <c r="G1895" i="1"/>
  <c r="G2916" i="1"/>
  <c r="G1284" i="1"/>
  <c r="G3766" i="1"/>
  <c r="G3647" i="1"/>
  <c r="G953" i="1"/>
  <c r="G2722" i="1"/>
  <c r="G1709" i="1"/>
  <c r="G1372" i="1"/>
  <c r="G599" i="1"/>
  <c r="G810" i="1"/>
  <c r="G1107" i="1"/>
  <c r="G2111" i="1"/>
  <c r="G2309" i="1"/>
  <c r="G2205" i="1"/>
  <c r="G32" i="1"/>
  <c r="G2547" i="1"/>
  <c r="G2554" i="1"/>
  <c r="G518" i="1"/>
  <c r="G821" i="1"/>
  <c r="G167" i="1"/>
  <c r="G2854" i="1"/>
  <c r="G1413" i="1"/>
  <c r="G612" i="1"/>
  <c r="G486" i="1"/>
  <c r="G822" i="1"/>
  <c r="G1368" i="1"/>
  <c r="G593" i="1"/>
  <c r="G504" i="1"/>
  <c r="G776" i="1"/>
  <c r="G3007" i="1"/>
  <c r="G259" i="1"/>
  <c r="G859" i="1"/>
  <c r="G257" i="1"/>
  <c r="G3925" i="1"/>
  <c r="G3694" i="1"/>
  <c r="G3182" i="1"/>
  <c r="G3411" i="1"/>
  <c r="G1256" i="1"/>
  <c r="G3123" i="1"/>
  <c r="G161" i="1"/>
  <c r="G2787" i="1"/>
  <c r="G3419" i="1"/>
  <c r="G1853" i="1"/>
  <c r="G1950" i="1"/>
  <c r="G2624" i="1"/>
  <c r="G2273" i="1"/>
  <c r="G946" i="1"/>
  <c r="G2429" i="1"/>
  <c r="G2069" i="1"/>
  <c r="G3491" i="1"/>
  <c r="G502" i="1"/>
  <c r="G1991" i="1"/>
  <c r="G225" i="1"/>
  <c r="G1799" i="1"/>
  <c r="G3672" i="1"/>
  <c r="G1515" i="1"/>
  <c r="G3230" i="1"/>
  <c r="G2501" i="1"/>
  <c r="G426" i="1"/>
  <c r="G437" i="1"/>
  <c r="G1883" i="1"/>
  <c r="G3809" i="1"/>
  <c r="G3192" i="1"/>
  <c r="G338" i="1"/>
  <c r="G665" i="1"/>
  <c r="G1818" i="1"/>
  <c r="G2505" i="1"/>
  <c r="G3800" i="1"/>
  <c r="G2832" i="1"/>
  <c r="G3446" i="1"/>
  <c r="G2826" i="1"/>
  <c r="G3723" i="1"/>
  <c r="G1513" i="1"/>
  <c r="G3462" i="1"/>
  <c r="G82" i="1"/>
  <c r="G1004" i="1"/>
  <c r="G3768" i="1"/>
  <c r="G212" i="1"/>
  <c r="G3806" i="1"/>
  <c r="G172" i="1"/>
  <c r="G2318" i="1"/>
  <c r="G296" i="1"/>
  <c r="G562" i="1"/>
  <c r="G3941" i="1"/>
  <c r="G2603" i="1"/>
  <c r="G1116" i="1"/>
  <c r="G2178" i="1"/>
  <c r="G2750" i="1"/>
  <c r="G1987" i="1"/>
  <c r="G2402" i="1"/>
  <c r="G3947" i="1"/>
  <c r="G1411" i="1"/>
  <c r="G1502" i="1"/>
  <c r="G3065" i="1"/>
  <c r="G1775" i="1"/>
  <c r="G1150" i="1"/>
  <c r="G2676" i="1"/>
  <c r="G3028" i="1"/>
  <c r="G3711" i="1"/>
  <c r="G664" i="1"/>
  <c r="G1250" i="1"/>
  <c r="G929" i="1"/>
  <c r="G3917" i="1"/>
  <c r="G1397" i="1"/>
  <c r="G2104" i="1"/>
  <c r="G1760" i="1"/>
  <c r="G2284" i="1"/>
  <c r="G380" i="1"/>
  <c r="G3714" i="1"/>
  <c r="G3646" i="1"/>
  <c r="G2201" i="1"/>
  <c r="G1544" i="1"/>
  <c r="G2276" i="1"/>
  <c r="G2661" i="1"/>
  <c r="G1467" i="1"/>
  <c r="G3858" i="1"/>
  <c r="G2507" i="1"/>
  <c r="G42" i="1"/>
  <c r="G2516" i="1"/>
  <c r="G1394" i="1"/>
  <c r="G3483" i="1"/>
  <c r="G255" i="1"/>
  <c r="G1720" i="1"/>
  <c r="G484" i="1"/>
  <c r="G623" i="1"/>
  <c r="G867" i="1"/>
  <c r="G1060" i="1"/>
  <c r="G3586" i="1"/>
  <c r="G1353" i="1"/>
  <c r="G3810" i="1"/>
  <c r="G3245" i="1"/>
  <c r="G465" i="1"/>
  <c r="G2496" i="1"/>
  <c r="G3953" i="1"/>
  <c r="G1109" i="1"/>
  <c r="G3909" i="1"/>
  <c r="G101" i="1"/>
  <c r="G3734" i="1"/>
  <c r="G430" i="1"/>
  <c r="G485" i="1"/>
  <c r="G524" i="1"/>
  <c r="G1734" i="1"/>
  <c r="G1281" i="1"/>
  <c r="G1329" i="1"/>
  <c r="G3846" i="1"/>
  <c r="G1387" i="1"/>
  <c r="G3656" i="1"/>
  <c r="G2659" i="1"/>
  <c r="G2614" i="1"/>
  <c r="G1841" i="1"/>
  <c r="G450" i="1"/>
  <c r="G1847" i="1"/>
  <c r="G3341" i="1"/>
  <c r="G58" i="1"/>
  <c r="G793" i="1"/>
  <c r="G3874" i="1"/>
  <c r="G2124" i="1"/>
  <c r="G3394" i="1"/>
  <c r="G1220" i="1"/>
  <c r="G1187" i="1"/>
  <c r="G1683" i="1"/>
  <c r="G2842" i="1"/>
  <c r="G1794" i="1"/>
  <c r="G2851" i="1"/>
  <c r="G3201" i="1"/>
  <c r="G3311" i="1"/>
  <c r="G1906" i="1"/>
  <c r="G1621" i="1"/>
  <c r="G104" i="1"/>
  <c r="G3848" i="1"/>
  <c r="G2924" i="1"/>
  <c r="G932" i="1"/>
  <c r="G423" i="1"/>
  <c r="G273" i="1"/>
  <c r="G3108" i="1"/>
  <c r="G456" i="1"/>
  <c r="G1129" i="1"/>
  <c r="G206" i="1"/>
  <c r="G2219" i="1"/>
  <c r="G1805" i="1"/>
  <c r="G1016" i="1"/>
  <c r="G467" i="1"/>
  <c r="G3669" i="1"/>
  <c r="G7" i="1"/>
  <c r="G1344" i="1"/>
  <c r="G3472" i="1"/>
  <c r="G2601" i="1"/>
  <c r="G2506" i="1"/>
  <c r="G3751" i="1"/>
  <c r="G1410" i="1"/>
  <c r="G3060" i="1"/>
  <c r="G2263" i="1"/>
  <c r="G1451" i="1"/>
  <c r="G1439" i="1"/>
  <c r="G1095" i="1"/>
  <c r="G1247" i="1"/>
  <c r="G1994" i="1"/>
  <c r="G709" i="1"/>
  <c r="G2508" i="1"/>
  <c r="G2041" i="1"/>
  <c r="G2145" i="1"/>
  <c r="G2292" i="1"/>
  <c r="G540" i="1"/>
  <c r="G2752" i="1"/>
  <c r="G1608" i="1"/>
  <c r="G1616" i="1"/>
  <c r="G3325" i="1"/>
  <c r="G676" i="1"/>
  <c r="G2846" i="1"/>
  <c r="G93" i="1"/>
  <c r="G1022" i="1"/>
  <c r="G3575" i="1"/>
  <c r="G3750" i="1"/>
  <c r="G3930" i="1"/>
  <c r="G2157" i="1"/>
  <c r="G453" i="1"/>
  <c r="G1374" i="1"/>
  <c r="G2233" i="1"/>
  <c r="G3912" i="1"/>
  <c r="G2160" i="1"/>
  <c r="G2382" i="1"/>
  <c r="G557" i="1"/>
  <c r="G3333" i="1"/>
  <c r="G1830" i="1"/>
  <c r="G1303" i="1"/>
  <c r="G3785" i="1"/>
  <c r="G1604" i="1"/>
  <c r="G2153" i="1"/>
  <c r="G2672" i="1"/>
  <c r="G2830" i="1"/>
  <c r="G3364" i="1"/>
  <c r="G164" i="1"/>
  <c r="G601" i="1"/>
  <c r="G321" i="1"/>
  <c r="G1496" i="1"/>
  <c r="G1827" i="1"/>
  <c r="G1464" i="1"/>
  <c r="G3183" i="1"/>
  <c r="G2070" i="1"/>
  <c r="G3086" i="1"/>
  <c r="G712" i="1"/>
  <c r="G570" i="1"/>
  <c r="G2655" i="1"/>
  <c r="G1062" i="1"/>
  <c r="G3361" i="1"/>
  <c r="G2911" i="1"/>
  <c r="G849" i="1"/>
  <c r="G3043" i="1"/>
  <c r="G424" i="1"/>
  <c r="G3131" i="1"/>
  <c r="G1432" i="1"/>
  <c r="G142" i="1"/>
  <c r="G1307" i="1"/>
  <c r="G944" i="1"/>
  <c r="G3778" i="1"/>
  <c r="G2136" i="1"/>
  <c r="G3950" i="1"/>
  <c r="G2395" i="1"/>
  <c r="G1904" i="1"/>
  <c r="G24" i="1"/>
  <c r="G3238" i="1"/>
  <c r="G3091" i="1"/>
  <c r="G1892" i="1"/>
  <c r="G949" i="1"/>
  <c r="G1010" i="1"/>
  <c r="G2576" i="1"/>
  <c r="G1942" i="1"/>
  <c r="G1239" i="1"/>
  <c r="G2568" i="1"/>
  <c r="G3627" i="1"/>
  <c r="G2196" i="1"/>
  <c r="G385" i="1"/>
  <c r="G3923" i="1"/>
  <c r="G299" i="1"/>
  <c r="G2814" i="1"/>
  <c r="G1409" i="1"/>
  <c r="G2654" i="1"/>
  <c r="G2510" i="1"/>
  <c r="G2256" i="1"/>
  <c r="G1430" i="1"/>
  <c r="G2045" i="1"/>
  <c r="G1163" i="1"/>
  <c r="G2197" i="1"/>
  <c r="G3219" i="1"/>
  <c r="G3316" i="1"/>
  <c r="G2354" i="1"/>
  <c r="G2995" i="1"/>
  <c r="G3742" i="1"/>
  <c r="G1046" i="1"/>
  <c r="G3531" i="1"/>
  <c r="G489" i="1"/>
  <c r="G3100" i="1"/>
  <c r="G3598" i="1"/>
  <c r="G3005" i="1"/>
  <c r="G2398" i="1"/>
  <c r="G3048" i="1"/>
  <c r="G2874" i="1"/>
  <c r="G815" i="1"/>
  <c r="G1125" i="1"/>
  <c r="G1258" i="1"/>
  <c r="G2361" i="1"/>
  <c r="G1727" i="1"/>
  <c r="G345" i="1"/>
  <c r="G3867" i="1"/>
  <c r="G3302" i="1"/>
  <c r="G68" i="1"/>
  <c r="G2244" i="1"/>
  <c r="G1094" i="1"/>
  <c r="G2721" i="1"/>
  <c r="G690" i="1"/>
  <c r="G3241" i="1"/>
  <c r="G1670" i="1"/>
  <c r="G3296" i="1"/>
  <c r="G1415" i="1"/>
  <c r="G3303" i="1"/>
  <c r="G3343" i="1"/>
  <c r="G3591" i="1"/>
  <c r="G1273" i="1"/>
  <c r="G1646" i="1"/>
  <c r="G911" i="1"/>
  <c r="G710" i="1"/>
  <c r="G147" i="1"/>
  <c r="G3928" i="1"/>
  <c r="G1340" i="1"/>
  <c r="G2210" i="1"/>
  <c r="G1602" i="1"/>
  <c r="G908" i="1"/>
  <c r="G977" i="1"/>
  <c r="G326" i="1"/>
  <c r="G2990" i="1"/>
  <c r="G2011" i="1"/>
  <c r="G126" i="1"/>
  <c r="G74" i="1"/>
  <c r="G496" i="1"/>
  <c r="G2772" i="1"/>
  <c r="G1612" i="1"/>
  <c r="G1063" i="1"/>
  <c r="G3544" i="1"/>
  <c r="G1054" i="1"/>
  <c r="G2119" i="1"/>
  <c r="G1677" i="1"/>
  <c r="G1564" i="1"/>
  <c r="G2141" i="1"/>
  <c r="G2287" i="1"/>
  <c r="G2384" i="1"/>
  <c r="G1721" i="1"/>
  <c r="G2250" i="1"/>
  <c r="G3254" i="1"/>
  <c r="G3815" i="1"/>
  <c r="G2447" i="1"/>
  <c r="G470" i="1"/>
  <c r="G2952" i="1"/>
  <c r="G3265" i="1"/>
  <c r="G3933" i="1"/>
  <c r="G3371" i="1"/>
  <c r="G2763" i="1"/>
  <c r="G2592" i="1"/>
  <c r="G3020" i="1"/>
  <c r="G3322" i="1"/>
  <c r="G2420" i="1"/>
  <c r="G1505" i="1"/>
  <c r="G193" i="1"/>
  <c r="G1257" i="1"/>
  <c r="G2729" i="1"/>
  <c r="G2754" i="1"/>
  <c r="G3683" i="1"/>
  <c r="G2704" i="1"/>
  <c r="G1907" i="1"/>
  <c r="G3618" i="1"/>
  <c r="G1443" i="1"/>
  <c r="G3200" i="1"/>
  <c r="G2599" i="1"/>
  <c r="G1698" i="1"/>
  <c r="G3605" i="1"/>
  <c r="G2448" i="1"/>
  <c r="G1940" i="1"/>
  <c r="G2176" i="1"/>
  <c r="G3523" i="1"/>
  <c r="G2255" i="1"/>
  <c r="G2617" i="1"/>
  <c r="G294" i="1"/>
  <c r="G1181" i="1"/>
  <c r="G1503" i="1"/>
  <c r="G2098" i="1"/>
  <c r="G786" i="1"/>
  <c r="G2266" i="1"/>
  <c r="G3270" i="1"/>
  <c r="G3954" i="1"/>
  <c r="G3559" i="1"/>
  <c r="G2188" i="1"/>
  <c r="G501" i="1"/>
  <c r="G2096" i="1"/>
  <c r="G2610" i="1"/>
  <c r="G205" i="1"/>
  <c r="G632" i="1"/>
  <c r="G517" i="1"/>
  <c r="G3459" i="1"/>
  <c r="G3046" i="1"/>
  <c r="G452" i="1"/>
  <c r="G1357" i="1"/>
  <c r="G2812" i="1"/>
  <c r="G943" i="1"/>
  <c r="G750" i="1"/>
  <c r="G1371" i="1"/>
  <c r="G2392" i="1"/>
  <c r="G2799" i="1"/>
  <c r="G3524" i="1"/>
  <c r="G2033" i="1"/>
  <c r="G3414" i="1"/>
  <c r="G3069" i="1"/>
  <c r="G3951" i="1"/>
  <c r="G232" i="1"/>
  <c r="G2099" i="1"/>
  <c r="G717" i="1"/>
  <c r="G3076" i="1"/>
  <c r="G3372" i="1"/>
  <c r="G2356" i="1"/>
  <c r="G1122" i="1"/>
  <c r="G3563" i="1"/>
  <c r="G192" i="1"/>
  <c r="G2724" i="1"/>
  <c r="G3555" i="1"/>
  <c r="G1033" i="1"/>
  <c r="G1334" i="1"/>
  <c r="G1419" i="1"/>
  <c r="G1528" i="1"/>
  <c r="G411" i="1"/>
  <c r="G1874" i="1"/>
  <c r="G2058" i="1"/>
  <c r="G1966" i="1"/>
  <c r="G2251" i="1"/>
  <c r="G3490" i="1"/>
  <c r="G460" i="1"/>
  <c r="G3774" i="1"/>
  <c r="G224" i="1"/>
  <c r="G1712" i="1"/>
  <c r="G3035" i="1"/>
  <c r="G3252" i="1"/>
  <c r="G333" i="1"/>
  <c r="G1965" i="1"/>
  <c r="G2890" i="1"/>
  <c r="G80" i="1"/>
  <c r="G804" i="1"/>
  <c r="G1469" i="1"/>
  <c r="G2154" i="1"/>
  <c r="G221" i="1"/>
  <c r="G3650" i="1"/>
  <c r="G2602" i="1"/>
  <c r="G44" i="1"/>
  <c r="G610" i="1"/>
  <c r="G2947" i="1"/>
  <c r="G1880" i="1"/>
  <c r="G3373" i="1"/>
  <c r="G491" i="1"/>
  <c r="G1506" i="1"/>
  <c r="G1288" i="1"/>
  <c r="G761" i="1"/>
  <c r="G174" i="1"/>
  <c r="G2001" i="1"/>
  <c r="G638" i="1"/>
  <c r="G1051" i="1"/>
  <c r="G2002" i="1"/>
  <c r="G1787" i="1"/>
  <c r="G2891" i="1"/>
  <c r="G3360" i="1"/>
  <c r="G2945" i="1"/>
  <c r="G91" i="1"/>
  <c r="G812" i="1"/>
  <c r="G2399" i="1"/>
  <c r="G1533" i="1"/>
  <c r="G1754" i="1"/>
  <c r="G533" i="1"/>
  <c r="G1689" i="1"/>
  <c r="G2773" i="1"/>
  <c r="G2966" i="1"/>
  <c r="G3070" i="1"/>
  <c r="G2937" i="1"/>
  <c r="G2979" i="1"/>
  <c r="G2050" i="1"/>
  <c r="G882" i="1"/>
  <c r="G1082" i="1"/>
  <c r="G3140" i="1"/>
  <c r="G33" i="1"/>
  <c r="G169" i="1"/>
  <c r="G249" i="1"/>
  <c r="G81" i="1"/>
  <c r="G1006" i="1"/>
  <c r="G2396" i="1"/>
  <c r="G928" i="1"/>
  <c r="G654" i="1"/>
  <c r="G457" i="1"/>
  <c r="G3870" i="1"/>
  <c r="G2442" i="1"/>
  <c r="G2353" i="1"/>
  <c r="G2738" i="1"/>
  <c r="G2653" i="1"/>
  <c r="G2468" i="1"/>
  <c r="G999" i="1"/>
  <c r="G567" i="1"/>
  <c r="G984" i="1"/>
  <c r="G183" i="1"/>
  <c r="G3788" i="1"/>
  <c r="G2243" i="1"/>
  <c r="G1696" i="1"/>
  <c r="G987" i="1"/>
  <c r="G905" i="1"/>
  <c r="G2650" i="1"/>
  <c r="G880" i="1"/>
  <c r="G1306" i="1"/>
  <c r="G1012" i="1"/>
  <c r="G3942" i="1"/>
  <c r="G3725" i="1"/>
  <c r="G1073" i="1"/>
  <c r="G2414" i="1"/>
  <c r="G3003" i="1"/>
  <c r="G1145" i="1"/>
  <c r="G695" i="1"/>
  <c r="G1424" i="1"/>
  <c r="G1099" i="1"/>
  <c r="G637" i="1"/>
  <c r="G1152" i="1"/>
  <c r="G2315" i="1"/>
  <c r="G733" i="1"/>
  <c r="G2307" i="1"/>
  <c r="G3516" i="1"/>
  <c r="G3747" i="1"/>
  <c r="G3050" i="1"/>
  <c r="G1452" i="1"/>
  <c r="G1878" i="1"/>
  <c r="G1140" i="1"/>
  <c r="G2206" i="1"/>
  <c r="G2600" i="1"/>
  <c r="G53" i="1"/>
  <c r="G2194" i="1"/>
  <c r="G2242" i="1"/>
  <c r="G3835" i="1"/>
  <c r="G3137" i="1"/>
  <c r="G870" i="1"/>
  <c r="G1807" i="1"/>
  <c r="G1014" i="1"/>
  <c r="G1536" i="1"/>
  <c r="G1738" i="1"/>
  <c r="G1312" i="1"/>
  <c r="G472" i="1"/>
  <c r="G3380" i="1"/>
  <c r="G3283" i="1"/>
  <c r="G2509" i="1"/>
  <c r="G2621" i="1"/>
  <c r="G755" i="1"/>
  <c r="G217" i="1"/>
  <c r="G3079" i="1"/>
  <c r="G3687" i="1"/>
  <c r="G1156" i="1"/>
  <c r="G3779" i="1"/>
  <c r="G434" i="1"/>
  <c r="G978" i="1"/>
  <c r="G2332" i="1"/>
  <c r="G1746" i="1"/>
  <c r="G852" i="1"/>
  <c r="G1777" i="1"/>
  <c r="G800" i="1"/>
  <c r="G3181" i="1"/>
  <c r="G3657" i="1"/>
  <c r="G3777" i="1"/>
  <c r="G1872" i="1"/>
  <c r="G740" i="1"/>
  <c r="G287" i="1"/>
  <c r="G1631" i="1"/>
  <c r="G2155" i="1"/>
  <c r="G353" i="1"/>
  <c r="G2638" i="1"/>
  <c r="G3602" i="1"/>
  <c r="G3395" i="1"/>
  <c r="G2734" i="1"/>
  <c r="G3066" i="1"/>
  <c r="G231" i="1"/>
  <c r="G1119" i="1"/>
  <c r="G3862" i="1"/>
  <c r="G1373" i="1"/>
  <c r="G2298" i="1"/>
  <c r="G3854" i="1"/>
  <c r="G3630" i="1"/>
  <c r="G1893" i="1"/>
  <c r="G2958" i="1"/>
  <c r="G29" i="1"/>
  <c r="G700" i="1"/>
  <c r="G3604" i="1"/>
  <c r="G675" i="1"/>
  <c r="G952" i="1"/>
  <c r="G1002" i="1"/>
  <c r="G2036" i="1"/>
  <c r="G2478" i="1"/>
  <c r="G1058" i="1"/>
  <c r="G3655" i="1"/>
  <c r="G970" i="1"/>
  <c r="G1858" i="1"/>
  <c r="G3064" i="1"/>
  <c r="G3830" i="1"/>
  <c r="G526" i="1"/>
  <c r="G1656" i="1"/>
  <c r="G2144" i="1"/>
  <c r="G1379" i="1"/>
  <c r="G2828" i="1"/>
  <c r="G3624" i="1"/>
  <c r="G230" i="1"/>
  <c r="G229" i="1"/>
  <c r="G3326" i="1"/>
  <c r="G1001" i="1"/>
  <c r="G3633" i="1"/>
  <c r="G1228" i="1"/>
  <c r="G770" i="1"/>
  <c r="G170" i="1"/>
  <c r="G1534" i="1"/>
  <c r="G3834" i="1"/>
  <c r="G1569" i="1"/>
  <c r="G1190" i="1"/>
  <c r="G1225" i="1"/>
  <c r="G366" i="1"/>
  <c r="G425" i="1"/>
  <c r="G3308" i="1"/>
  <c r="G1634" i="1"/>
  <c r="G1964" i="1"/>
  <c r="G1283" i="1"/>
  <c r="G139" i="1"/>
  <c r="G2239" i="1"/>
  <c r="G1722" i="1"/>
  <c r="G691" i="1"/>
  <c r="G2928" i="1"/>
  <c r="G2377" i="1"/>
  <c r="G1457" i="1"/>
  <c r="G1650" i="1"/>
  <c r="G1868" i="1"/>
  <c r="G3640" i="1"/>
  <c r="G1813" i="1"/>
  <c r="G2297" i="1"/>
  <c r="G3101" i="1"/>
  <c r="G3156" i="1"/>
  <c r="G973" i="1"/>
  <c r="G868" i="1"/>
  <c r="G3387" i="1"/>
  <c r="G3286" i="1"/>
  <c r="G2400" i="1"/>
  <c r="G3528" i="1"/>
  <c r="G176" i="1"/>
  <c r="G3081" i="1"/>
  <c r="G2261" i="1"/>
  <c r="G3072" i="1"/>
  <c r="G1826" i="1"/>
  <c r="G3922" i="1"/>
  <c r="G123" i="1"/>
  <c r="G41" i="1"/>
  <c r="G62" i="1"/>
  <c r="G60" i="1"/>
  <c r="G38" i="1"/>
  <c r="G2686" i="1"/>
  <c r="G660" i="1"/>
  <c r="G3636" i="1"/>
  <c r="G3457" i="1"/>
  <c r="G438" i="1"/>
  <c r="G305" i="1"/>
  <c r="G1134" i="1"/>
  <c r="G560" i="1"/>
  <c r="G3474" i="1"/>
  <c r="G3724" i="1"/>
  <c r="G50" i="1"/>
  <c r="G957" i="1"/>
  <c r="G1277" i="1"/>
  <c r="G2643" i="1"/>
  <c r="G753" i="1"/>
  <c r="G2316" i="1"/>
  <c r="G1774" i="1"/>
  <c r="G1494" i="1"/>
  <c r="G1088" i="1"/>
  <c r="G2849" i="1"/>
  <c r="G3551" i="1"/>
  <c r="G2306" i="1"/>
  <c r="G939" i="1"/>
  <c r="G1207" i="1"/>
  <c r="G329" i="1"/>
  <c r="G3488" i="1"/>
  <c r="G3896" i="1"/>
  <c r="G1264" i="1"/>
  <c r="G280" i="1"/>
  <c r="G582" i="1"/>
  <c r="G138" i="1"/>
  <c r="G1040" i="1"/>
  <c r="G1910" i="1"/>
  <c r="G2963" i="1"/>
  <c r="G2644" i="1"/>
  <c r="G1710" i="1"/>
  <c r="G1900" i="1"/>
  <c r="G2901" i="1"/>
  <c r="G1788" i="1"/>
  <c r="G1091" i="1"/>
  <c r="G916" i="1"/>
  <c r="G227" i="1"/>
  <c r="G1266" i="1"/>
  <c r="G2366" i="1"/>
  <c r="G1984" i="1"/>
  <c r="G2159" i="1"/>
  <c r="G3340" i="1"/>
  <c r="G3952" i="1"/>
  <c r="G1731" i="1"/>
  <c r="G133" i="1"/>
  <c r="G723" i="1"/>
  <c r="G56" i="1"/>
  <c r="G9" i="1"/>
  <c r="G3463" i="1"/>
  <c r="G2996" i="1"/>
  <c r="G2091" i="1"/>
  <c r="G2532" i="1"/>
  <c r="G180" i="1"/>
  <c r="G3931" i="1"/>
  <c r="G1038" i="1"/>
  <c r="G834" i="1"/>
  <c r="G2725" i="1"/>
  <c r="G713" i="1"/>
  <c r="G2641" i="1"/>
  <c r="G1070" i="1"/>
  <c r="G1130" i="1"/>
  <c r="G3292" i="1"/>
  <c r="G314" i="1"/>
  <c r="G3126" i="1"/>
  <c r="G830" i="1"/>
  <c r="G974" i="1"/>
  <c r="G788" i="1"/>
  <c r="G1535" i="1"/>
  <c r="G3798" i="1"/>
  <c r="G3643" i="1"/>
  <c r="G218" i="1"/>
  <c r="G1752" i="1"/>
  <c r="G3015" i="1"/>
  <c r="G335" i="1"/>
  <c r="G3658" i="1"/>
  <c r="G3879" i="1"/>
  <c r="G3915" i="1"/>
  <c r="G3692" i="1"/>
  <c r="G3260" i="1"/>
  <c r="G2517" i="1"/>
  <c r="G3946" i="1"/>
  <c r="G594" i="1"/>
  <c r="G3827" i="1"/>
  <c r="G1808" i="1"/>
  <c r="G360" i="1"/>
  <c r="G1597" i="1"/>
  <c r="G445" i="1"/>
  <c r="G22" i="1"/>
  <c r="G1189" i="1"/>
  <c r="G63" i="1"/>
  <c r="G513" i="1"/>
  <c r="G2331" i="1"/>
  <c r="G2371" i="1"/>
  <c r="G111" i="1"/>
  <c r="G1037" i="1"/>
  <c r="G389" i="1"/>
  <c r="G3089" i="1"/>
  <c r="G2054" i="1"/>
  <c r="G561" i="1"/>
  <c r="G2939" i="1"/>
  <c r="G1155" i="1"/>
  <c r="G2558" i="1"/>
  <c r="G3347" i="1"/>
  <c r="G109" i="1"/>
  <c r="G3580" i="1"/>
  <c r="G3895" i="1"/>
  <c r="G2355" i="1"/>
  <c r="G3722" i="1"/>
  <c r="G2631" i="1"/>
  <c r="G2313" i="1"/>
  <c r="G1075" i="1"/>
  <c r="G2299" i="1"/>
  <c r="G2853" i="1"/>
  <c r="G3593" i="1"/>
  <c r="G3783" i="1"/>
  <c r="G962" i="1"/>
  <c r="G2605" i="1"/>
  <c r="G3653" i="1"/>
  <c r="G2918" i="1"/>
  <c r="G2004" i="1"/>
  <c r="G3233" i="1"/>
  <c r="G334" i="1"/>
  <c r="G1977" i="1"/>
  <c r="G1660" i="1"/>
  <c r="G1453" i="1"/>
  <c r="G1000" i="1"/>
  <c r="G447" i="1"/>
  <c r="G746" i="1"/>
  <c r="G837" i="1"/>
  <c r="G395" i="1"/>
  <c r="G1648" i="1"/>
  <c r="G2311" i="1"/>
  <c r="G3337" i="1"/>
  <c r="G850" i="1"/>
  <c r="G3110" i="1"/>
  <c r="G2138" i="1"/>
  <c r="G2030" i="1"/>
  <c r="G736" i="1"/>
  <c r="G724" i="1"/>
  <c r="G1404" i="1"/>
  <c r="G836" i="1"/>
  <c r="G1758" i="1"/>
  <c r="G94" i="1"/>
  <c r="G256" i="1"/>
  <c r="G236" i="1"/>
  <c r="G2386" i="1"/>
  <c r="G1600" i="1"/>
  <c r="G364" i="1"/>
  <c r="G1276" i="1"/>
  <c r="G1733" i="1"/>
  <c r="G782" i="1"/>
  <c r="G1133" i="1"/>
  <c r="G521" i="1"/>
  <c r="G1973" i="1"/>
  <c r="G3571" i="1"/>
  <c r="G667" i="1"/>
  <c r="G2071" i="1"/>
  <c r="G1863" i="1"/>
  <c r="G781" i="1"/>
  <c r="G3769" i="1"/>
  <c r="G2458" i="1"/>
  <c r="G840" i="1"/>
  <c r="G1049" i="1"/>
  <c r="G927" i="1"/>
  <c r="G493" i="1"/>
  <c r="G1100" i="1"/>
  <c r="G2046" i="1"/>
  <c r="G1485" i="1"/>
  <c r="G2850" i="1"/>
  <c r="G1064" i="1"/>
  <c r="G293" i="1"/>
  <c r="G290" i="1"/>
  <c r="G319" i="1"/>
  <c r="G1445" i="1"/>
  <c r="G356" i="1"/>
  <c r="G2491" i="1"/>
  <c r="G744" i="1"/>
  <c r="G3897" i="1"/>
  <c r="G307" i="1"/>
  <c r="G2984" i="1"/>
  <c r="G162" i="1"/>
  <c r="G3148" i="1"/>
  <c r="G1318" i="1"/>
  <c r="G1902" i="1"/>
  <c r="G177" i="1"/>
  <c r="G3315" i="1"/>
  <c r="G3894" i="1"/>
  <c r="G3936" i="1"/>
  <c r="G297" i="1"/>
  <c r="G3898" i="1"/>
  <c r="G3893" i="1"/>
  <c r="G1171" i="1"/>
  <c r="G879" i="1"/>
  <c r="G105" i="1"/>
  <c r="G838" i="1"/>
  <c r="G343" i="1"/>
  <c r="G2291" i="1"/>
  <c r="G1188" i="1"/>
  <c r="G1669" i="1"/>
  <c r="G3564" i="1"/>
  <c r="G1667" i="1"/>
  <c r="G3167" i="1"/>
  <c r="G1192" i="1"/>
  <c r="G2075" i="1"/>
  <c r="G1219" i="1"/>
  <c r="G687" i="1"/>
  <c r="G2057" i="1"/>
  <c r="G406" i="1"/>
  <c r="G1291" i="1"/>
  <c r="G650" i="1"/>
  <c r="G1339" i="1"/>
  <c r="G1321" i="1"/>
  <c r="G955" i="1"/>
  <c r="G1716" i="1"/>
  <c r="G477" i="1"/>
  <c r="G2682" i="1"/>
  <c r="G751" i="1"/>
  <c r="G2167" i="1"/>
  <c r="G1349" i="1"/>
  <c r="G876" i="1"/>
  <c r="G1587" i="1"/>
  <c r="G2927" i="1"/>
  <c r="G357" i="1"/>
  <c r="G17" i="1"/>
  <c r="G2962" i="1"/>
  <c r="G1336" i="1"/>
  <c r="G2028" i="1"/>
  <c r="G535" i="1"/>
  <c r="G3385" i="1"/>
  <c r="G796" i="1"/>
  <c r="G1804" i="1"/>
  <c r="G3681" i="1"/>
  <c r="G2949" i="1"/>
  <c r="G3267" i="1"/>
  <c r="G578" i="1"/>
  <c r="G1103" i="1"/>
  <c r="G2719" i="1"/>
  <c r="G1297" i="1"/>
  <c r="G1231" i="1"/>
  <c r="G2240" i="1"/>
  <c r="G3927" i="1"/>
  <c r="G763" i="1"/>
  <c r="G2327" i="1"/>
  <c r="G455" i="1"/>
  <c r="G2325" i="1"/>
  <c r="G1021" i="1"/>
  <c r="G989" i="1"/>
  <c r="G2635" i="1"/>
  <c r="G3095" i="1"/>
  <c r="G2296" i="1"/>
  <c r="G924" i="1"/>
  <c r="G2453" i="1"/>
  <c r="G1750" i="1"/>
  <c r="G1386" i="1"/>
  <c r="G1173" i="1"/>
  <c r="G2150" i="1"/>
  <c r="G3174" i="1"/>
  <c r="G3790" i="1"/>
  <c r="G3916" i="1"/>
  <c r="G2699" i="1"/>
  <c r="G1790" i="1"/>
  <c r="G2369" i="1"/>
  <c r="G1606" i="1"/>
  <c r="G1159" i="1"/>
  <c r="G2164" i="1"/>
  <c r="G1912" i="1"/>
  <c r="G3116" i="1"/>
  <c r="G579" i="1"/>
  <c r="G2074" i="1"/>
  <c r="G3390" i="1"/>
  <c r="G2775" i="1"/>
  <c r="G741" i="1"/>
  <c r="G1223" i="1"/>
  <c r="G1295" i="1"/>
  <c r="G3453" i="1"/>
  <c r="G36" i="1"/>
  <c r="G160" i="1"/>
  <c r="G2913" i="1"/>
  <c r="G102" i="1"/>
  <c r="G3744" i="1"/>
  <c r="G2237" i="1"/>
  <c r="G835" i="1"/>
  <c r="G653" i="1"/>
  <c r="G2745" i="1"/>
  <c r="G1572" i="1"/>
  <c r="G1565" i="1"/>
  <c r="G1551" i="1"/>
  <c r="G1259" i="1"/>
  <c r="G2829" i="1"/>
  <c r="G968" i="1"/>
  <c r="G1852" i="1"/>
  <c r="G775" i="1"/>
  <c r="G3253" i="1"/>
  <c r="G3378" i="1"/>
  <c r="G39" i="1"/>
  <c r="G1521" i="1"/>
  <c r="G1435" i="1"/>
  <c r="G1151" i="1"/>
  <c r="G1479" i="1"/>
  <c r="G1575" i="1"/>
  <c r="G2759" i="1"/>
  <c r="G2657" i="1"/>
  <c r="G583" i="1"/>
  <c r="G825" i="1"/>
  <c r="G2669" i="1"/>
  <c r="G2521" i="1"/>
  <c r="G845" i="1"/>
  <c r="G2768" i="1"/>
  <c r="G996" i="1"/>
  <c r="G1333" i="1"/>
  <c r="G1797" i="1"/>
  <c r="G2808" i="1"/>
  <c r="G129" i="1"/>
  <c r="G1245" i="1"/>
  <c r="G1375" i="1"/>
  <c r="G1331" i="1"/>
  <c r="G1287" i="1"/>
  <c r="G3678" i="1"/>
  <c r="G1127" i="1"/>
  <c r="G1254" i="1"/>
  <c r="G1989" i="1"/>
  <c r="G2212" i="1"/>
  <c r="G1644" i="1"/>
  <c r="G1113" i="1"/>
  <c r="G1472" i="1"/>
  <c r="G2531" i="1"/>
  <c r="G3427" i="1"/>
  <c r="G1216" i="1"/>
  <c r="G1501" i="1"/>
  <c r="G499" i="1"/>
  <c r="G2712" i="1"/>
  <c r="G2112" i="1"/>
  <c r="G1230" i="1"/>
  <c r="G2123" i="1"/>
  <c r="G3759" i="1"/>
  <c r="G684" i="1"/>
  <c r="G408" i="1"/>
  <c r="G2751" i="1"/>
  <c r="G531" i="1"/>
  <c r="G1292" i="1"/>
  <c r="G2907" i="1"/>
  <c r="G383" i="1"/>
  <c r="G991" i="1"/>
  <c r="G2974" i="1"/>
  <c r="G1952" i="1"/>
  <c r="G869" i="1"/>
  <c r="G2777" i="1"/>
  <c r="G442" i="1"/>
  <c r="G3186" i="1"/>
  <c r="G1759" i="1"/>
  <c r="G1946" i="1"/>
  <c r="G2102" i="1"/>
  <c r="G1982" i="1"/>
  <c r="G420" i="1"/>
  <c r="G289" i="1"/>
  <c r="G1490" i="1"/>
  <c r="G549" i="1"/>
  <c r="G2513" i="1"/>
  <c r="G1894" i="1"/>
  <c r="G1009" i="1"/>
  <c r="G1802" i="1"/>
  <c r="G3522" i="1"/>
  <c r="G3616" i="1"/>
  <c r="G2412" i="1"/>
  <c r="G2051" i="1"/>
  <c r="G2441" i="1"/>
  <c r="G3467" i="1"/>
  <c r="G1456" i="1"/>
  <c r="G1934" i="1"/>
  <c r="G2009" i="1"/>
  <c r="G90" i="1"/>
  <c r="G2162" i="1"/>
  <c r="G454" i="1"/>
  <c r="G3052" i="1"/>
  <c r="G831" i="1"/>
  <c r="G476" i="1"/>
  <c r="G706" i="1"/>
  <c r="G3597" i="1"/>
  <c r="G3297" i="1"/>
  <c r="G1860" i="1"/>
  <c r="G3469" i="1"/>
  <c r="G1673" i="1"/>
  <c r="G415" i="1"/>
  <c r="G548" i="1"/>
  <c r="G2823" i="1"/>
  <c r="G3529" i="1"/>
  <c r="G3543" i="1"/>
  <c r="G350" i="1"/>
  <c r="G1069" i="1"/>
  <c r="G5" i="1"/>
  <c r="G2101" i="1"/>
  <c r="G2982" i="1"/>
  <c r="G140" i="1"/>
  <c r="G2348" i="1"/>
  <c r="G2428" i="1"/>
  <c r="G2312" i="1"/>
  <c r="G3492" i="1"/>
  <c r="G359" i="1"/>
  <c r="G1491" i="1"/>
  <c r="G1286" i="1"/>
  <c r="G3843" i="1"/>
  <c r="G2308" i="1"/>
  <c r="G1609" i="1"/>
  <c r="G511" i="1"/>
  <c r="G3876" i="1"/>
  <c r="G3819" i="1"/>
  <c r="G157" i="1"/>
  <c r="G875" i="1"/>
  <c r="G1391" i="1"/>
  <c r="G2689" i="1"/>
  <c r="G2504" i="1"/>
  <c r="G210" i="1"/>
  <c r="G187" i="1"/>
  <c r="G1316" i="1"/>
  <c r="G1182" i="1"/>
  <c r="G1085" i="1"/>
  <c r="G3004" i="1"/>
  <c r="G2406" i="1"/>
  <c r="G3336" i="1"/>
  <c r="G3008" i="1"/>
  <c r="G3501" i="1"/>
  <c r="G1168" i="1"/>
  <c r="G2062" i="1"/>
  <c r="G550" i="1"/>
  <c r="G1663" i="1"/>
  <c r="G76" i="1"/>
  <c r="G992" i="1"/>
  <c r="G3410" i="1"/>
  <c r="G1314" i="1"/>
  <c r="G785" i="1"/>
  <c r="G3149" i="1"/>
  <c r="G1304" i="1"/>
  <c r="G3671" i="1"/>
  <c r="G828" i="1"/>
  <c r="G2365" i="1"/>
  <c r="G3538" i="1"/>
  <c r="G2586" i="1"/>
  <c r="G720" i="1"/>
  <c r="G3884" i="1"/>
  <c r="G488" i="1"/>
  <c r="G625" i="1"/>
  <c r="G1558" i="1"/>
  <c r="G1925" i="1"/>
  <c r="G3017" i="1"/>
  <c r="G3963" i="1"/>
  <c r="G3758" i="1"/>
  <c r="G3940" i="1"/>
  <c r="G789" i="1"/>
  <c r="G214" i="1"/>
  <c r="G940" i="1"/>
  <c r="G373" i="1"/>
  <c r="G1825" i="1"/>
  <c r="G1724" i="1"/>
  <c r="G3487" i="1"/>
  <c r="G2596" i="1"/>
  <c r="G1909" i="1"/>
  <c r="G3166" i="1"/>
  <c r="G3391" i="1"/>
  <c r="G3243" i="1"/>
  <c r="G2482" i="1"/>
  <c r="G155" i="1"/>
  <c r="G3746" i="1"/>
  <c r="G1294" i="1"/>
  <c r="G3652" i="1"/>
  <c r="G2000" i="1"/>
  <c r="G1854" i="1"/>
  <c r="G3891" i="1"/>
  <c r="G512" i="1"/>
  <c r="G3496" i="1"/>
  <c r="G3901" i="1"/>
  <c r="G759" i="1"/>
  <c r="G3831" i="1"/>
  <c r="G1930" i="1"/>
  <c r="G3662" i="1"/>
  <c r="G3875" i="1"/>
  <c r="G441" i="1"/>
  <c r="G2841" i="1"/>
  <c r="G263" i="1"/>
  <c r="G1444" i="1"/>
  <c r="G3165" i="1"/>
  <c r="G2247" i="1"/>
  <c r="G661" i="1"/>
  <c r="G2941" i="1"/>
  <c r="G2976" i="1"/>
  <c r="G3794" i="1"/>
  <c r="G1581" i="1"/>
  <c r="G3611" i="1"/>
  <c r="G577" i="1"/>
  <c r="G1035" i="1"/>
  <c r="G1084" i="1"/>
  <c r="G1213" i="1"/>
  <c r="G619" i="1"/>
  <c r="G854" i="1"/>
  <c r="G2363" i="1"/>
  <c r="G3295" i="1"/>
  <c r="G1519" i="1"/>
  <c r="G2880" i="1"/>
  <c r="G1688" i="1"/>
  <c r="G78" i="1"/>
  <c r="G917" i="1"/>
  <c r="G1388" i="1"/>
  <c r="G1971" i="1"/>
  <c r="G3145" i="1"/>
  <c r="G1585" i="1"/>
  <c r="G2535" i="1"/>
  <c r="G3029" i="1"/>
  <c r="G3832" i="1"/>
  <c r="G2697" i="1"/>
  <c r="G3477" i="1"/>
  <c r="G522" i="1"/>
  <c r="G2827" i="1"/>
  <c r="G3500" i="1"/>
  <c r="G3679" i="1"/>
  <c r="G2735" i="1"/>
  <c r="G2163" i="1"/>
  <c r="G1675" i="1"/>
  <c r="G3355" i="1"/>
  <c r="G416" i="1"/>
  <c r="G14" i="1"/>
  <c r="G820" i="1"/>
  <c r="G3429" i="1"/>
  <c r="G1131" i="1"/>
  <c r="G154" i="1"/>
  <c r="G795" i="1"/>
  <c r="G1043" i="1"/>
  <c r="G1979" i="1"/>
  <c r="G2184" i="1"/>
  <c r="G2994" i="1"/>
  <c r="G1132" i="1"/>
  <c r="G902" i="1"/>
  <c r="G2896" i="1"/>
  <c r="G2861" i="1"/>
  <c r="G2742" i="1"/>
  <c r="G2908" i="1"/>
  <c r="G2151" i="1"/>
  <c r="G846" i="1"/>
  <c r="G1779" i="1"/>
  <c r="G3661" i="1"/>
  <c r="G1018" i="1"/>
  <c r="G1636" i="1"/>
  <c r="G3196" i="1"/>
  <c r="G2224" i="1"/>
  <c r="G2161" i="1"/>
  <c r="G1539" i="1"/>
  <c r="G2043" i="1"/>
  <c r="G903" i="1"/>
  <c r="G1327" i="1"/>
  <c r="G83" i="1"/>
  <c r="G2126" i="1"/>
  <c r="G3713" i="1"/>
  <c r="G2806" i="1"/>
  <c r="G2819" i="1"/>
  <c r="G3582" i="1"/>
  <c r="G2107" i="1"/>
  <c r="G151" i="1"/>
  <c r="G2900" i="1"/>
  <c r="G797" i="1"/>
  <c r="G3801" i="1"/>
  <c r="G2975" i="1"/>
  <c r="G2288" i="1"/>
  <c r="G2688" i="1"/>
  <c r="G1908" i="1"/>
  <c r="G26" i="1"/>
  <c r="G551" i="1"/>
  <c r="G3486" i="1"/>
  <c r="G2717" i="1"/>
  <c r="G1891" i="1"/>
  <c r="G3262" i="1"/>
  <c r="G3314" i="1"/>
  <c r="G2553" i="1"/>
  <c r="G393" i="1"/>
  <c r="G887" i="1"/>
  <c r="G2122" i="1"/>
  <c r="G336" i="1"/>
  <c r="G159" i="1"/>
  <c r="G1742" i="1"/>
  <c r="G3594" i="1"/>
  <c r="G3096" i="1"/>
  <c r="G3581" i="1"/>
  <c r="G114" i="1"/>
  <c r="G211" i="1"/>
  <c r="G3040" i="1"/>
  <c r="G2079" i="1"/>
  <c r="G3592" i="1"/>
  <c r="G3402" i="1"/>
  <c r="G1362" i="1"/>
  <c r="G1755" i="1"/>
  <c r="G375" i="1"/>
  <c r="G1568" i="1"/>
  <c r="G716" i="1"/>
  <c r="G377" i="1"/>
  <c r="G3773" i="1"/>
  <c r="G1489" i="1"/>
  <c r="G3285" i="1"/>
  <c r="G3601" i="1"/>
  <c r="G2191" i="1"/>
  <c r="G843" i="1"/>
  <c r="G2693" i="1"/>
  <c r="G697" i="1"/>
  <c r="G765" i="1"/>
  <c r="G3789" i="1"/>
  <c r="G1343" i="1"/>
  <c r="G3363" i="1"/>
  <c r="G3508" i="1"/>
  <c r="G893" i="1"/>
  <c r="G96" i="1"/>
  <c r="G1124" i="1"/>
  <c r="G1480" i="1"/>
  <c r="G2489" i="1"/>
  <c r="G559" i="1"/>
  <c r="G2713" i="1"/>
  <c r="G88" i="1"/>
  <c r="G1071" i="1"/>
  <c r="G1328" i="1"/>
  <c r="G379" i="1"/>
  <c r="G1381" i="1"/>
  <c r="G1882" i="1"/>
  <c r="G734" i="1"/>
  <c r="G2640" i="1"/>
  <c r="G242" i="1"/>
  <c r="G3621" i="1"/>
  <c r="G2020" i="1"/>
  <c r="G918" i="1"/>
  <c r="G936" i="1"/>
  <c r="G1279" i="1"/>
  <c r="G1651" i="1"/>
  <c r="G3882" i="1"/>
  <c r="G54" i="1"/>
  <c r="G2055" i="1"/>
  <c r="G1701" i="1"/>
  <c r="G3560" i="1"/>
  <c r="G2720" i="1"/>
  <c r="G2698" i="1"/>
  <c r="G2764" i="1"/>
  <c r="G922" i="1"/>
  <c r="G739" i="1"/>
  <c r="G440" i="1"/>
  <c r="G1985" i="1"/>
  <c r="G3006" i="1"/>
  <c r="G3433" i="1"/>
  <c r="G347" i="1"/>
  <c r="G556" i="1"/>
  <c r="G3553" i="1"/>
  <c r="G358" i="1"/>
  <c r="G3234" i="1"/>
  <c r="G2932" i="1"/>
  <c r="G2570" i="1"/>
  <c r="G118" i="1"/>
  <c r="G3365" i="1"/>
  <c r="G1730" i="1"/>
  <c r="G967" i="1"/>
  <c r="G1626" i="1"/>
  <c r="G1433" i="1"/>
  <c r="G787" i="1"/>
  <c r="G2681" i="1"/>
  <c r="G1988" i="1"/>
  <c r="G394" i="1"/>
  <c r="G1055" i="1"/>
  <c r="G3903" i="1"/>
  <c r="G3929" i="1"/>
  <c r="G2459" i="1"/>
  <c r="G318" i="1"/>
  <c r="G1262" i="1"/>
  <c r="G3321" i="1"/>
  <c r="G3857" i="1"/>
  <c r="G2410" i="1"/>
  <c r="G726" i="1"/>
  <c r="G1460" i="1"/>
  <c r="G2031" i="1"/>
  <c r="G2906" i="1"/>
  <c r="G3473" i="1"/>
  <c r="G2852" i="1"/>
  <c r="G961" i="1"/>
  <c r="G609" i="1"/>
  <c r="G877" i="1"/>
  <c r="G826" i="1"/>
  <c r="G1657" i="1"/>
  <c r="G2755" i="1"/>
  <c r="G3499" i="1"/>
  <c r="G749" i="1"/>
  <c r="G3667" i="1"/>
  <c r="G563" i="1"/>
  <c r="G1117" i="1"/>
  <c r="G3795" i="1"/>
  <c r="G1913" i="1"/>
  <c r="G1293" i="1"/>
  <c r="G3849" i="1"/>
  <c r="G686" i="1"/>
  <c r="G1936" i="1"/>
  <c r="G3097" i="1"/>
  <c r="G3259" i="1"/>
  <c r="G1588" i="1"/>
  <c r="G3177" i="1"/>
  <c r="G1614" i="1"/>
  <c r="G1019" i="1"/>
  <c r="G478" i="1"/>
  <c r="G12" i="1"/>
  <c r="G626" i="1"/>
  <c r="G2630" i="1"/>
  <c r="G417" i="1"/>
  <c r="G3381" i="1"/>
  <c r="G941" i="1"/>
  <c r="G596" i="1"/>
  <c r="G701" i="1"/>
  <c r="G207" i="1"/>
  <c r="G704" i="1"/>
  <c r="G2564" i="1"/>
  <c r="G651" i="1"/>
  <c r="G2843" i="1"/>
  <c r="G2770" i="1"/>
  <c r="G208" i="1"/>
  <c r="G1678" i="1"/>
  <c r="G153" i="1"/>
  <c r="G860" i="1"/>
  <c r="G2474" i="1"/>
  <c r="G3689" i="1"/>
  <c r="G3866" i="1"/>
  <c r="G3327" i="1"/>
  <c r="G896" i="1"/>
  <c r="G2175" i="1"/>
  <c r="G1401" i="1"/>
  <c r="G3519" i="1"/>
  <c r="G827" i="1"/>
  <c r="G323" i="1"/>
  <c r="G3236" i="1"/>
  <c r="G1149" i="1"/>
  <c r="G1525" i="1"/>
  <c r="G1249" i="1"/>
  <c r="G1857" i="1"/>
  <c r="G3728" i="1"/>
  <c r="G1052" i="1"/>
  <c r="G3610" i="1"/>
  <c r="G1599" i="1"/>
  <c r="G3807" i="1"/>
  <c r="G261" i="1"/>
  <c r="G3632" i="1"/>
  <c r="G1441" i="1"/>
  <c r="G3703" i="1"/>
  <c r="G1141" i="1"/>
  <c r="G3921" i="1"/>
  <c r="G3332" i="1"/>
  <c r="G881" i="1"/>
  <c r="G685" i="1"/>
  <c r="G3231" i="1"/>
  <c r="G1928" i="1"/>
  <c r="G3764" i="1"/>
  <c r="G587" i="1"/>
  <c r="G509" i="1"/>
  <c r="G361" i="1"/>
  <c r="G1916" i="1"/>
  <c r="G1267" i="1"/>
  <c r="G2345" i="1"/>
  <c r="G851" i="1"/>
  <c r="G344" i="1"/>
  <c r="G1831" i="1"/>
  <c r="G3309" i="1"/>
  <c r="G1104" i="1"/>
  <c r="G1418" i="1"/>
  <c r="G3284" i="1"/>
  <c r="G2140" i="1"/>
  <c r="G73" i="1"/>
  <c r="G3701" i="1"/>
  <c r="G2619" i="1"/>
  <c r="G1290" i="1"/>
  <c r="G1869" i="1"/>
  <c r="G2991" i="1"/>
  <c r="G173" i="1"/>
  <c r="G3058" i="1"/>
  <c r="G566" i="1"/>
  <c r="G565" i="1"/>
  <c r="G1360" i="1"/>
  <c r="G1459" i="1"/>
  <c r="G983" i="1"/>
  <c r="G2572" i="1"/>
  <c r="G2282" i="1"/>
  <c r="G3051" i="1"/>
  <c r="G1048" i="1"/>
  <c r="G3424" i="1"/>
  <c r="G125" i="1"/>
  <c r="G367" i="1"/>
  <c r="G2766" i="1"/>
  <c r="G181" i="1"/>
  <c r="G264" i="1"/>
  <c r="G198" i="1"/>
  <c r="G2405" i="1"/>
  <c r="G2208" i="1"/>
  <c r="G1870" i="1"/>
  <c r="G3413" i="1"/>
  <c r="G1447" i="1"/>
  <c r="G2409" i="1"/>
  <c r="G3888" i="1"/>
  <c r="G1398" i="1"/>
  <c r="G3536" i="1"/>
  <c r="G3892" i="1"/>
  <c r="G2817" i="1"/>
  <c r="G2757" i="1"/>
  <c r="G3733" i="1"/>
  <c r="G588" i="1"/>
  <c r="G3710" i="1"/>
  <c r="G2831" i="1"/>
  <c r="G1217" i="1"/>
  <c r="G2235" i="1"/>
  <c r="G116" i="1"/>
  <c r="G3705" i="1"/>
  <c r="G2731" i="1"/>
  <c r="G832" i="1"/>
  <c r="G2132" i="1"/>
  <c r="G2110" i="1"/>
  <c r="G1540" i="1"/>
  <c r="G3191" i="1"/>
  <c r="G2335" i="1"/>
  <c r="G349" i="1"/>
  <c r="G3323" i="1"/>
  <c r="G705" i="1"/>
  <c r="G604" i="1"/>
  <c r="G1969" i="1"/>
  <c r="G3155" i="1"/>
  <c r="G888" i="1"/>
  <c r="G473" i="1"/>
  <c r="G1875" i="1"/>
  <c r="G1767" i="1"/>
  <c r="G1204" i="1"/>
  <c r="G421" i="1"/>
  <c r="G3039" i="1"/>
  <c r="G937" i="1"/>
  <c r="G340" i="1"/>
  <c r="G3448" i="1"/>
  <c r="G1027" i="1"/>
  <c r="G3502" i="1"/>
  <c r="G3615" i="1"/>
  <c r="G2310" i="1"/>
  <c r="G3037" i="1"/>
  <c r="G3970" i="1"/>
  <c r="G3225" i="1"/>
  <c r="G2647" i="1"/>
  <c r="G3382" i="1"/>
  <c r="G2692" i="1"/>
  <c r="G2336" i="1"/>
  <c r="G2010" i="1"/>
  <c r="G1713" i="1"/>
  <c r="G958" i="1"/>
  <c r="G3317" i="1"/>
  <c r="G2339" i="1"/>
  <c r="G2821" i="1"/>
  <c r="G2598" i="1"/>
  <c r="G2423" i="1"/>
  <c r="G2997" i="1"/>
  <c r="G2983" i="1"/>
  <c r="G2109" i="1"/>
  <c r="G1352" i="1"/>
  <c r="G510" i="1"/>
  <c r="G3199" i="1"/>
  <c r="G3841" i="1"/>
  <c r="G2211" i="1"/>
  <c r="G2198" i="1"/>
  <c r="G2515" i="1"/>
  <c r="G935" i="1"/>
  <c r="G328" i="1"/>
  <c r="G497" i="1"/>
  <c r="G3919" i="1"/>
  <c r="G631" i="1"/>
  <c r="G2455" i="1"/>
  <c r="G3125" i="1"/>
  <c r="G3977" i="1"/>
  <c r="G3688" i="1"/>
  <c r="G1785" i="1"/>
  <c r="G1112" i="1"/>
  <c r="G1607" i="1"/>
  <c r="G365" i="1"/>
  <c r="G3629" i="1"/>
  <c r="G3256" i="1"/>
  <c r="G20" i="1"/>
  <c r="G2252" i="1"/>
  <c r="G2367" i="1"/>
  <c r="G233" i="1"/>
  <c r="G2246" i="1"/>
  <c r="G2583" i="1"/>
  <c r="G1243" i="1"/>
  <c r="G1960" i="1"/>
  <c r="G861" i="1"/>
  <c r="G2740" i="1"/>
  <c r="G3820" i="1"/>
  <c r="G3612" i="1"/>
  <c r="G414" i="1"/>
  <c r="G1393" i="1"/>
  <c r="G3301" i="1"/>
  <c r="G3246" i="1"/>
  <c r="G1115" i="1"/>
  <c r="G141" i="1"/>
  <c r="G2793" i="1"/>
  <c r="G2169" i="1"/>
  <c r="G2166" i="1"/>
  <c r="G2329" i="1"/>
  <c r="G2347" i="1"/>
  <c r="G3298" i="1"/>
  <c r="G197" i="1"/>
  <c r="G3344" i="1"/>
  <c r="G311" i="1"/>
  <c r="G2340" i="1"/>
  <c r="G2171" i="1"/>
  <c r="G3310" i="1"/>
  <c r="G3264" i="1"/>
  <c r="G1918" i="1"/>
  <c r="G1241" i="1"/>
  <c r="G3450" i="1"/>
  <c r="G2902" i="1"/>
  <c r="G1090" i="1"/>
  <c r="G3351" i="1"/>
  <c r="G3441" i="1"/>
  <c r="G1784" i="1"/>
  <c r="G997" i="1"/>
  <c r="G1271" i="1"/>
  <c r="G505" i="1"/>
  <c r="G3924" i="1"/>
  <c r="G1385" i="1"/>
  <c r="G3268" i="1"/>
  <c r="G397" i="1"/>
  <c r="G1814" i="1"/>
  <c r="G657" i="1"/>
  <c r="G764" i="1"/>
  <c r="G1719" i="1"/>
  <c r="G107" i="1"/>
  <c r="G2216" i="1"/>
  <c r="G3138" i="1"/>
  <c r="G1440" i="1"/>
  <c r="G2470" i="1"/>
  <c r="G2187" i="1"/>
  <c r="G2195" i="1"/>
  <c r="G3845" i="1"/>
  <c r="G84" i="1"/>
  <c r="G216" i="1"/>
  <c r="G404" i="1"/>
  <c r="G966" i="1"/>
  <c r="G2561" i="1"/>
  <c r="G1332" i="1"/>
  <c r="G3729" i="1"/>
  <c r="G901" i="1"/>
  <c r="G1618" i="1"/>
  <c r="G915" i="1"/>
  <c r="G327" i="1"/>
  <c r="G1932" i="1"/>
  <c r="G703" i="1"/>
  <c r="G1210" i="1"/>
  <c r="G3721" i="1"/>
  <c r="G3628" i="1"/>
  <c r="G3881" i="1"/>
  <c r="G1632" i="1"/>
  <c r="G3631" i="1"/>
  <c r="G1174" i="1"/>
  <c r="G1238" i="1"/>
  <c r="G1248" i="1"/>
  <c r="G1275" i="1"/>
  <c r="G43" i="1"/>
  <c r="G21" i="1"/>
  <c r="G16" i="1"/>
  <c r="G2628" i="1"/>
  <c r="G833" i="1"/>
  <c r="G2460" i="1"/>
  <c r="G694" i="1"/>
  <c r="G985" i="1"/>
  <c r="G2479" i="1"/>
  <c r="G1842" i="1"/>
  <c r="G3143" i="1"/>
  <c r="G2985" i="1"/>
  <c r="G2401" i="1"/>
  <c r="G3813" i="1"/>
  <c r="G1044" i="1"/>
  <c r="G752" i="1"/>
  <c r="G300" i="1"/>
  <c r="G3796" i="1"/>
  <c r="G959" i="1"/>
  <c r="G2093" i="1"/>
  <c r="G433" i="1"/>
  <c r="G3740" i="1"/>
  <c r="G3222" i="1"/>
  <c r="G2992" i="1"/>
  <c r="G2627" i="1"/>
  <c r="G3261" i="1"/>
  <c r="G1354" i="1"/>
  <c r="G2090" i="1"/>
  <c r="G3178" i="1"/>
  <c r="G1280" i="1"/>
  <c r="G3506" i="1"/>
  <c r="G2416" i="1"/>
  <c r="G634" i="1"/>
  <c r="G981" i="1"/>
  <c r="G3503" i="1"/>
  <c r="G3717" i="1"/>
  <c r="G1042" i="1"/>
  <c r="G3861" i="1"/>
  <c r="G245" i="1"/>
  <c r="G2362" i="1"/>
  <c r="G1926" i="1"/>
  <c r="G2170" i="1"/>
  <c r="G1725" i="1"/>
  <c r="G252" i="1"/>
  <c r="G980" i="1"/>
  <c r="G1265" i="1"/>
  <c r="G1691" i="1"/>
  <c r="G600" i="1"/>
  <c r="G1927" i="1"/>
  <c r="G1546" i="1"/>
  <c r="G292" i="1"/>
  <c r="G1450" i="1"/>
  <c r="G2417" i="1"/>
  <c r="G2753" i="1"/>
  <c r="G3078" i="1"/>
  <c r="G648" i="1"/>
  <c r="G1160" i="1"/>
  <c r="G1620" i="1"/>
  <c r="G3354" i="1"/>
  <c r="G331" i="1"/>
  <c r="G1208" i="1"/>
  <c r="G3470" i="1"/>
  <c r="G3432" i="1"/>
  <c r="G1068" i="1"/>
  <c r="G19" i="1"/>
  <c r="G209" i="1"/>
  <c r="G2905" i="1"/>
  <c r="G3761" i="1"/>
  <c r="G2304" i="1"/>
  <c r="G3080" i="1"/>
  <c r="G47" i="1"/>
  <c r="G680" i="1"/>
  <c r="G3279" i="1"/>
  <c r="G1203" i="1"/>
  <c r="G1405" i="1"/>
  <c r="G3859" i="1"/>
  <c r="G3700" i="1"/>
  <c r="G3821" i="1"/>
  <c r="G474" i="1"/>
  <c r="G2609" i="1"/>
  <c r="G3651" i="1"/>
  <c r="G817" i="1"/>
  <c r="G926" i="1"/>
  <c r="G2822" i="1"/>
  <c r="G2747" i="1"/>
  <c r="G2700" i="1"/>
  <c r="G584" i="1"/>
  <c r="G2446" i="1"/>
  <c r="G1671" i="1"/>
  <c r="G3512" i="1"/>
  <c r="G3772" i="1"/>
  <c r="G677" i="1"/>
  <c r="G2820" i="1"/>
  <c r="G2943" i="1"/>
  <c r="G3883" i="1"/>
  <c r="G1390" i="1"/>
  <c r="G2364" i="1"/>
  <c r="G3280" i="1"/>
  <c r="G1442" i="1"/>
  <c r="G1153" i="1"/>
  <c r="G2464" i="1"/>
  <c r="G2769" i="1"/>
  <c r="G2718" i="1"/>
  <c r="G872" i="1"/>
  <c r="G2912" i="1"/>
  <c r="G3294" i="1"/>
  <c r="G1580" i="1"/>
  <c r="G1138" i="1"/>
  <c r="G605" i="1"/>
  <c r="G2934" i="1"/>
  <c r="G722" i="1"/>
  <c r="G3570" i="1"/>
  <c r="G3184" i="1"/>
  <c r="G772" i="1"/>
  <c r="G196" i="1"/>
  <c r="G2044" i="1"/>
  <c r="G2254" i="1"/>
  <c r="G3935" i="1"/>
  <c r="G2859" i="1"/>
  <c r="G464" i="1"/>
  <c r="G1630" i="1"/>
  <c r="G3329" i="1"/>
  <c r="G2067" i="1"/>
  <c r="G451" i="1"/>
  <c r="G132" i="1"/>
  <c r="G59" i="1"/>
  <c r="G1471" i="1"/>
  <c r="G72" i="1"/>
  <c r="G3568" i="1"/>
  <c r="G2503" i="1"/>
  <c r="G3811" i="1"/>
  <c r="G779" i="1"/>
  <c r="G2172" i="1"/>
  <c r="G1205" i="1"/>
  <c r="G2385" i="1"/>
  <c r="G3084" i="1"/>
  <c r="G1317" i="1"/>
  <c r="G1527" i="1"/>
  <c r="G1877" i="1"/>
  <c r="G2241" i="1"/>
  <c r="G3561" i="1"/>
  <c r="G640" i="1"/>
  <c r="G3397" i="1"/>
  <c r="G2563" i="1"/>
  <c r="G3044" i="1"/>
  <c r="G745" i="1"/>
  <c r="G2756" i="1"/>
  <c r="G2594" i="1"/>
  <c r="G2677" i="1"/>
  <c r="G135" i="1"/>
  <c r="G3934" i="1"/>
  <c r="G3127" i="1"/>
  <c r="G865" i="1"/>
  <c r="G2249" i="1"/>
  <c r="G2319" i="1"/>
  <c r="G3111" i="1"/>
  <c r="G1184" i="1"/>
  <c r="G2573" i="1"/>
  <c r="G2108" i="1"/>
  <c r="G1162" i="1"/>
  <c r="G3599" i="1"/>
  <c r="G728" i="1"/>
  <c r="G3034" i="1"/>
  <c r="G332" i="1"/>
  <c r="G2081" i="1"/>
  <c r="G87" i="1"/>
  <c r="G2103" i="1"/>
  <c r="G2456" i="1"/>
  <c r="G1543" i="1"/>
  <c r="G666" i="1"/>
  <c r="G545" i="1"/>
  <c r="G368" i="1"/>
  <c r="G2512" i="1"/>
  <c r="G3489" i="1"/>
  <c r="G1840" i="1"/>
  <c r="G3478" i="1"/>
  <c r="G780" i="1"/>
  <c r="G3482" i="1"/>
  <c r="G886" i="1"/>
  <c r="G711" i="1"/>
  <c r="G2674" i="1"/>
  <c r="G1358" i="1"/>
  <c r="G2656" i="1"/>
  <c r="G1865" i="1"/>
  <c r="G2173" i="1"/>
  <c r="G2083" i="1"/>
  <c r="G2248" i="1"/>
  <c r="G3959" i="1"/>
  <c r="G1929" i="1"/>
  <c r="G1888" i="1"/>
  <c r="G572" i="1"/>
  <c r="G1324" i="1"/>
  <c r="G1846" i="1"/>
  <c r="G444" i="1"/>
  <c r="G862" i="1"/>
  <c r="G2585" i="1"/>
  <c r="G1399" i="1"/>
  <c r="G2128" i="1"/>
  <c r="G1400" i="1"/>
  <c r="G201" i="1"/>
  <c r="G2061" i="1"/>
  <c r="G3257" i="1"/>
  <c r="G771" i="1"/>
  <c r="G923" i="1"/>
  <c r="G2813" i="1"/>
  <c r="G2115" i="1"/>
  <c r="G934" i="1"/>
  <c r="G110" i="1"/>
  <c r="G1990" i="1"/>
  <c r="G2779" i="1"/>
  <c r="G458" i="1"/>
  <c r="G3319" i="1"/>
  <c r="G288" i="1"/>
  <c r="G1423" i="1"/>
  <c r="G1013" i="1"/>
  <c r="G2910" i="1"/>
  <c r="G1997" i="1"/>
  <c r="G1625" i="1"/>
  <c r="G1108" i="1"/>
  <c r="G2671" i="1"/>
  <c r="G3608" i="1"/>
  <c r="G1978" i="1"/>
  <c r="G31" i="1"/>
  <c r="G2180" i="1"/>
  <c r="G1034" i="1"/>
  <c r="G3103" i="1"/>
  <c r="G931" i="1"/>
  <c r="G529" i="1"/>
  <c r="G895" i="1"/>
  <c r="G1417" i="1"/>
  <c r="G2387" i="1"/>
  <c r="G3119" i="1"/>
  <c r="G2645" i="1"/>
  <c r="G3493" i="1"/>
  <c r="G2652" i="1"/>
  <c r="G659" i="1"/>
  <c r="G1915" i="1"/>
  <c r="G134" i="1"/>
  <c r="G439" i="1"/>
  <c r="G506" i="1"/>
  <c r="G2018" i="1"/>
  <c r="G1674" i="1"/>
  <c r="G175" i="1"/>
  <c r="G3873" i="1"/>
  <c r="G1610" i="1"/>
  <c r="G2909" i="1"/>
  <c r="G3625" i="1"/>
  <c r="G1686" i="1"/>
  <c r="G1816" i="1"/>
  <c r="G1032" i="1"/>
  <c r="G2800" i="1"/>
  <c r="G1687" i="1"/>
  <c r="G3278" i="1"/>
  <c r="G1756" i="1"/>
  <c r="G3569" i="1"/>
  <c r="G1363" i="1"/>
  <c r="G688" i="1"/>
  <c r="G429" i="1"/>
  <c r="G3288" i="1"/>
  <c r="G3056" i="1"/>
  <c r="G1128" i="1"/>
  <c r="G3221" i="1"/>
  <c r="G1143" i="1"/>
  <c r="G2579" i="1"/>
  <c r="G3047" i="1"/>
  <c r="G2715" i="1"/>
  <c r="G2129" i="1"/>
  <c r="G3851" i="1"/>
  <c r="G2181" i="1"/>
  <c r="G3026" i="1"/>
  <c r="G144" i="1"/>
  <c r="G2213" i="1"/>
  <c r="G1959" i="1"/>
  <c r="G2227" i="1"/>
  <c r="G2179" i="1"/>
  <c r="G3645" i="1"/>
  <c r="G1633" i="1"/>
  <c r="G2589" i="1"/>
  <c r="G2338" i="1"/>
  <c r="G3532" i="1"/>
  <c r="G1567" i="1"/>
  <c r="G1920" i="1"/>
  <c r="G1914" i="1"/>
  <c r="G3828" i="1"/>
  <c r="G254" i="1"/>
  <c r="G1191" i="1"/>
  <c r="G57" i="1"/>
  <c r="G3306" i="1"/>
  <c r="G3736" i="1"/>
  <c r="G55" i="1"/>
  <c r="G3666" i="1"/>
  <c r="G2636" i="1"/>
  <c r="G48" i="1"/>
  <c r="G203" i="1"/>
  <c r="G3346" i="1"/>
  <c r="G1215" i="1"/>
  <c r="G247" i="1"/>
  <c r="G1835" i="1"/>
  <c r="G3562" i="1"/>
  <c r="G1482" i="1"/>
  <c r="G495" i="1"/>
  <c r="G1476" i="1"/>
  <c r="G2290" i="1"/>
  <c r="G156" i="1"/>
  <c r="G552" i="1"/>
  <c r="G2026" i="1"/>
  <c r="G3022" i="1"/>
  <c r="G2668" i="1"/>
  <c r="G3132" i="1"/>
  <c r="G2368" i="1"/>
  <c r="G1289" i="1"/>
  <c r="G3130" i="1"/>
  <c r="G3421" i="1"/>
  <c r="G1726" i="1"/>
  <c r="G413" i="1"/>
  <c r="G1789" i="1"/>
  <c r="G891" i="1"/>
  <c r="G3957" i="1"/>
  <c r="G1487" i="1"/>
  <c r="G919" i="1"/>
  <c r="G670" i="1"/>
  <c r="G1520" i="1"/>
  <c r="G2500" i="1"/>
  <c r="G2836" i="1"/>
  <c r="G1751" i="1"/>
  <c r="G2199" i="1"/>
  <c r="G3838" i="1"/>
  <c r="G3443" i="1"/>
  <c r="G184" i="1"/>
  <c r="G2477" i="1"/>
  <c r="G2632" i="1"/>
  <c r="G642" i="1"/>
  <c r="G2803" i="1"/>
  <c r="G1708" i="1"/>
  <c r="G894" i="1"/>
  <c r="G2556" i="1"/>
  <c r="G234" i="1"/>
  <c r="G1511" i="1"/>
  <c r="G3362" i="1"/>
  <c r="G643" i="1"/>
  <c r="G3150" i="1"/>
  <c r="G2595" i="1"/>
  <c r="G1778" i="1"/>
  <c r="G1157" i="1"/>
  <c r="G2824" i="1"/>
  <c r="G243" i="1"/>
  <c r="G2834" i="1"/>
  <c r="G3437" i="1"/>
  <c r="G2895" i="1"/>
  <c r="G3574" i="1"/>
  <c r="G481" i="1"/>
  <c r="G112" i="1"/>
  <c r="G2032" i="1"/>
  <c r="G1093" i="1"/>
  <c r="G542" i="1"/>
  <c r="G2389" i="1"/>
  <c r="G696" i="1"/>
  <c r="G2397" i="1"/>
  <c r="G948" i="1"/>
  <c r="G3709" i="1"/>
  <c r="G498" i="1"/>
  <c r="G2930" i="1"/>
  <c r="G3476" i="1"/>
  <c r="G1406" i="1"/>
  <c r="G1574" i="1"/>
  <c r="G1007" i="1"/>
  <c r="G616" i="1"/>
  <c r="G2578" i="1"/>
  <c r="G2257" i="1"/>
  <c r="G2285" i="1"/>
  <c r="G2143" i="1"/>
  <c r="G3018" i="1"/>
  <c r="G124" i="1"/>
  <c r="G1492" i="1"/>
  <c r="G1885" i="1"/>
  <c r="G2565" i="1"/>
  <c r="G2034" i="1"/>
  <c r="G2027" i="1"/>
  <c r="G2337" i="1"/>
  <c r="G1142" i="1"/>
  <c r="G1101" i="1"/>
  <c r="G3775" i="1"/>
  <c r="G1700" i="1"/>
  <c r="G204" i="1"/>
  <c r="G103" i="1"/>
  <c r="G2495" i="1"/>
  <c r="G1812" i="1"/>
  <c r="G339" i="1"/>
  <c r="G1559" i="1"/>
  <c r="G2783" i="1"/>
  <c r="G149" i="1"/>
  <c r="G226" i="1"/>
  <c r="G432" i="1"/>
  <c r="G3300" i="1"/>
  <c r="G1414" i="1"/>
  <c r="G1740" i="1"/>
  <c r="G3878" i="1"/>
  <c r="G1931" i="1"/>
  <c r="G885" i="1"/>
  <c r="G3481" i="1"/>
  <c r="G925" i="1"/>
  <c r="G3287" i="1"/>
  <c r="G1800" i="1"/>
  <c r="G2562" i="1"/>
  <c r="G1420" i="1"/>
  <c r="G2518" i="1"/>
  <c r="G613" i="1"/>
  <c r="G1764" i="1"/>
  <c r="G608" i="1"/>
  <c r="G3107" i="1"/>
  <c r="G1810" i="1"/>
  <c r="G2193" i="1"/>
  <c r="G3899" i="1"/>
  <c r="G857" i="1"/>
  <c r="G2714" i="1"/>
  <c r="G1924" i="1"/>
  <c r="G1879" i="1"/>
  <c r="G945" i="1"/>
  <c r="G1766" i="1"/>
  <c r="G555" i="1"/>
  <c r="G1897" i="1"/>
  <c r="G1560" i="1"/>
  <c r="G2801" i="1"/>
  <c r="G3513" i="1"/>
  <c r="G354" i="1"/>
  <c r="G382" i="1"/>
  <c r="G2948" i="1"/>
  <c r="G3760" i="1"/>
  <c r="G3781" i="1"/>
  <c r="G2774" i="1"/>
  <c r="G1488" i="1"/>
  <c r="G1717" i="1"/>
  <c r="G2267" i="1"/>
  <c r="G747" i="1"/>
  <c r="G1653" i="1"/>
  <c r="G2809" i="1"/>
  <c r="G1126" i="1"/>
  <c r="G2524" i="1"/>
  <c r="G603" i="1"/>
  <c r="G3969" i="1"/>
  <c r="G1836" i="1"/>
  <c r="G1617" i="1"/>
  <c r="G4" i="1"/>
  <c r="G1773" i="1"/>
  <c r="G592" i="1"/>
  <c r="G2960" i="1"/>
  <c r="G3877" i="1"/>
  <c r="G2637" i="1"/>
  <c r="G2894" i="1"/>
  <c r="G1325" i="1"/>
  <c r="G3943" i="1"/>
  <c r="G3269" i="1"/>
  <c r="G2544" i="1"/>
  <c r="G3674" i="1"/>
  <c r="G1285" i="1"/>
  <c r="G2280" i="1"/>
  <c r="G1699" i="1"/>
  <c r="G244" i="1"/>
  <c r="G1570" i="1"/>
  <c r="G3458" i="1"/>
  <c r="G3697" i="1"/>
  <c r="G1455" i="1"/>
  <c r="G2463" i="1"/>
  <c r="G2931" i="1"/>
  <c r="G1235" i="1"/>
  <c r="G3307" i="1"/>
  <c r="G3485" i="1"/>
  <c r="G3497" i="1"/>
  <c r="G3548" i="1"/>
  <c r="G3002" i="1"/>
  <c r="G2149" i="1"/>
  <c r="G372" i="1"/>
  <c r="G1477" i="1"/>
  <c r="G2680" i="1"/>
  <c r="G3011" i="1"/>
  <c r="G1274" i="1"/>
  <c r="G3814" i="1"/>
  <c r="G1135" i="1"/>
  <c r="G2782" i="1"/>
  <c r="G2543" i="1"/>
  <c r="G839" i="1"/>
  <c r="G3836" i="1"/>
  <c r="G3792" i="1"/>
  <c r="G714" i="1"/>
  <c r="G1993" i="1"/>
  <c r="G1186" i="1"/>
  <c r="G1772" i="1"/>
  <c r="G3393" i="1"/>
  <c r="G3844" i="1"/>
  <c r="G2174" i="1"/>
  <c r="G2791" i="1"/>
  <c r="G979" i="1"/>
  <c r="G1382" i="1"/>
  <c r="G1999" i="1"/>
  <c r="G2972" i="1"/>
  <c r="G3376" i="1"/>
  <c r="G3515" i="1"/>
  <c r="G13" i="1"/>
  <c r="G938" i="1"/>
  <c r="G2667" i="1"/>
  <c r="G310" i="1"/>
  <c r="G3577" i="1"/>
  <c r="G3958" i="1"/>
  <c r="G519" i="1"/>
  <c r="G2618" i="1"/>
  <c r="G2623" i="1"/>
  <c r="G220" i="1"/>
  <c r="G3189" i="1"/>
  <c r="G1169" i="1"/>
  <c r="G3202" i="1"/>
  <c r="G285" i="1"/>
  <c r="G3920" i="1"/>
  <c r="G581" i="1"/>
  <c r="G1749" i="1"/>
  <c r="G1639" i="1"/>
  <c r="G3369" i="1"/>
  <c r="G2887" i="1"/>
  <c r="G494" i="1"/>
  <c r="G3540" i="1"/>
  <c r="G2664" i="1"/>
  <c r="G1020" i="1"/>
  <c r="G1792" i="1"/>
  <c r="G2137" i="1"/>
  <c r="G580" i="1"/>
  <c r="G2847" i="1"/>
  <c r="G1896" i="1"/>
  <c r="G2073" i="1"/>
  <c r="G1474" i="1"/>
  <c r="G3756" i="1"/>
  <c r="G3634" i="1"/>
  <c r="G1025" i="1"/>
  <c r="G459" i="1"/>
  <c r="G2620" i="1"/>
  <c r="G1905" i="1"/>
  <c r="G2587" i="1"/>
  <c r="G2165" i="1"/>
  <c r="G28" i="1"/>
  <c r="G1828" i="1"/>
  <c r="G554" i="1"/>
  <c r="G2870" i="1"/>
  <c r="G2988" i="1"/>
  <c r="G238" i="1"/>
  <c r="G2391" i="1"/>
  <c r="G449" i="1"/>
  <c r="G3964" i="1"/>
  <c r="G3939" i="1"/>
  <c r="G3010" i="1"/>
  <c r="G897" i="1"/>
  <c r="G119" i="1"/>
  <c r="G246" i="1"/>
  <c r="G2499" i="1"/>
  <c r="G2835" i="1"/>
  <c r="G3507" i="1"/>
  <c r="G2711" i="1"/>
  <c r="G1518" i="1"/>
  <c r="G2944" i="1"/>
  <c r="G2816" i="1"/>
  <c r="G1389" i="1"/>
  <c r="G108" i="1"/>
  <c r="G2481" i="1"/>
  <c r="G2954" i="1"/>
  <c r="G971" i="1"/>
  <c r="G1780" i="1"/>
  <c r="G3757" i="1"/>
  <c r="G3606" i="1"/>
  <c r="G219" i="1"/>
  <c r="G2776" i="1"/>
  <c r="G1706" i="1"/>
  <c r="G2973" i="1"/>
  <c r="G1542" i="1"/>
  <c r="G1970" i="1"/>
  <c r="G1884" i="1"/>
  <c r="G2158" i="1"/>
  <c r="G1641" i="1"/>
  <c r="G3384" i="1"/>
  <c r="G3803" i="1"/>
  <c r="G3154" i="1"/>
  <c r="G543" i="1"/>
  <c r="G250" i="1"/>
  <c r="G2352" i="1"/>
  <c r="G693" i="1"/>
  <c r="G3505" i="1"/>
  <c r="G200" i="1"/>
  <c r="G2048" i="1"/>
  <c r="G1365" i="1"/>
  <c r="G2006" i="1"/>
  <c r="G3880" i="1"/>
  <c r="G378" i="1"/>
  <c r="G844" i="1"/>
  <c r="G3171" i="1"/>
  <c r="G3596" i="1"/>
  <c r="G2771" i="1"/>
  <c r="G783" i="1"/>
  <c r="G1640" i="1"/>
  <c r="G1958" i="1"/>
  <c r="G1728" i="1"/>
  <c r="G1822" i="1"/>
  <c r="G1652" i="1"/>
  <c r="G2049" i="1"/>
  <c r="G1252" i="1"/>
  <c r="G2758" i="1"/>
  <c r="G2884" i="1"/>
  <c r="G1594" i="1"/>
  <c r="G3735" i="1"/>
  <c r="G3972" i="1"/>
  <c r="G2845" i="1"/>
  <c r="G3320" i="1"/>
  <c r="G2381" i="1"/>
  <c r="G2575" i="1"/>
  <c r="G3860" i="1"/>
  <c r="G760" i="1"/>
  <c r="G3534" i="1"/>
  <c r="G2022" i="1"/>
  <c r="G1412" i="1"/>
  <c r="G1793" i="1"/>
  <c r="G1745" i="1"/>
  <c r="G51" i="1"/>
  <c r="G2200" i="1"/>
  <c r="G735" i="1"/>
  <c r="G1221" i="1"/>
  <c r="G2881" i="1"/>
  <c r="G1744" i="1"/>
  <c r="G1801" i="1"/>
  <c r="G1341" i="1"/>
  <c r="G1743" i="1"/>
  <c r="G2358" i="1"/>
  <c r="G2749" i="1"/>
  <c r="G1003" i="1"/>
  <c r="G1170" i="1"/>
  <c r="G2876" i="1"/>
  <c r="G2064" i="1"/>
  <c r="G3338" i="1"/>
  <c r="G2281" i="1"/>
  <c r="G1692" i="1"/>
  <c r="G2548" i="1"/>
  <c r="G3389" i="1"/>
  <c r="G1598" i="1"/>
  <c r="G468" i="1"/>
  <c r="G3517" i="1"/>
  <c r="G2574" i="1"/>
  <c r="G2346" i="1"/>
  <c r="G106" i="1"/>
  <c r="G2" i="1"/>
  <c r="G1972" i="1"/>
  <c r="G663" i="1"/>
  <c r="G2121" i="1"/>
  <c r="G3960" i="1"/>
  <c r="G3552" i="1"/>
  <c r="G3180" i="1"/>
  <c r="G732" i="1"/>
  <c r="G2473" i="1"/>
  <c r="G3055" i="1"/>
  <c r="G538" i="1"/>
  <c r="G412" i="1"/>
  <c r="G2863" i="1"/>
  <c r="G3281" i="1"/>
  <c r="G1627" i="1"/>
  <c r="G2076" i="1"/>
  <c r="G3521" i="1"/>
  <c r="G1194" i="1"/>
  <c r="G3073" i="1"/>
  <c r="G2795" i="1"/>
  <c r="G1177" i="1"/>
  <c r="G3900" i="1"/>
  <c r="G2825" i="1"/>
  <c r="G791" i="1"/>
  <c r="G1031" i="1"/>
  <c r="G2730" i="1"/>
  <c r="G757" i="1"/>
  <c r="G3291" i="1"/>
  <c r="G3275" i="1"/>
  <c r="G2877" i="1"/>
  <c r="G150" i="1"/>
  <c r="G2549" i="1"/>
  <c r="G718" i="1"/>
  <c r="G2021" i="1"/>
  <c r="G1595" i="1"/>
  <c r="G1422" i="1"/>
  <c r="G1509" i="1"/>
  <c r="G873" i="1"/>
  <c r="G1770" i="1"/>
  <c r="G1635" i="1"/>
  <c r="G3771" i="1"/>
  <c r="G3622" i="1"/>
  <c r="G2536" i="1"/>
  <c r="G2390" i="1"/>
  <c r="G748" i="1"/>
  <c r="G2087" i="1"/>
  <c r="G163" i="1"/>
  <c r="G3403" i="1"/>
  <c r="G818" i="1"/>
  <c r="G1008" i="1"/>
  <c r="G2088" i="1"/>
  <c r="G2978" i="1"/>
  <c r="G2025" i="1"/>
  <c r="G2788" i="1"/>
  <c r="G3357" i="1"/>
  <c r="G2663" i="1"/>
  <c r="G2222" i="1"/>
  <c r="G1556" i="1"/>
  <c r="G3780" i="1"/>
  <c r="G3782" i="1"/>
  <c r="G1943" i="1"/>
  <c r="G370" i="1"/>
  <c r="G3511" i="1"/>
  <c r="G1313" i="1"/>
  <c r="G2214" i="1"/>
  <c r="G803" i="1"/>
  <c r="G773" i="1"/>
  <c r="G671" i="1"/>
  <c r="G508" i="1"/>
  <c r="G2744" i="1"/>
  <c r="G2431" i="1"/>
  <c r="G2373" i="1"/>
  <c r="G2838" i="1"/>
  <c r="G1311" i="1"/>
  <c r="G3720" i="1"/>
  <c r="G3547" i="1"/>
  <c r="G3436" i="1"/>
  <c r="G1024" i="1"/>
  <c r="G1282" i="1"/>
  <c r="G371" i="1"/>
  <c r="G3353" i="1"/>
  <c r="G969" i="1"/>
  <c r="G1944" i="1"/>
  <c r="G168" i="1"/>
  <c r="G2148" i="1"/>
  <c r="G3823" i="1"/>
  <c r="G2551" i="1"/>
  <c r="G2790" i="1"/>
  <c r="G889" i="1"/>
  <c r="G3808" i="1"/>
  <c r="G1461" i="1"/>
  <c r="G1659" i="1"/>
  <c r="G2218" i="1"/>
  <c r="G3613" i="1"/>
  <c r="G2465" i="1"/>
  <c r="G2520" i="1"/>
  <c r="G2519" i="1"/>
  <c r="G541" i="1"/>
  <c r="G2245" i="1"/>
  <c r="G1955" i="1"/>
  <c r="G348" i="1"/>
  <c r="G3812" i="1"/>
  <c r="G3229" i="1"/>
  <c r="G1347" i="1"/>
  <c r="G1665" i="1"/>
  <c r="G1359" i="1"/>
  <c r="G2566" i="1"/>
  <c r="G3272" i="1"/>
  <c r="G2584" i="1"/>
  <c r="G1233" i="1"/>
  <c r="G514" i="1"/>
  <c r="G2950" i="1"/>
  <c r="G2085" i="1"/>
  <c r="G1039" i="1"/>
  <c r="G3331" i="1"/>
  <c r="G3967" i="1"/>
  <c r="G407" i="1"/>
  <c r="G3600" i="1"/>
  <c r="G3098" i="1"/>
  <c r="G1596" i="1"/>
  <c r="G2665" i="1"/>
  <c r="G573" i="1"/>
  <c r="G2673" i="1"/>
  <c r="G3945" i="1"/>
  <c r="G266" i="1"/>
  <c r="G2608" i="1"/>
  <c r="G1668" i="1"/>
  <c r="G1047" i="1"/>
  <c r="G265" i="1"/>
  <c r="G1268" i="1"/>
  <c r="G3135" i="1"/>
  <c r="G1809" i="1"/>
  <c r="G2915" i="1"/>
  <c r="G2156" i="1"/>
  <c r="G3036" i="1"/>
  <c r="G2542" i="1"/>
  <c r="G2330" i="1"/>
  <c r="G2646" i="1"/>
  <c r="G3188" i="1"/>
  <c r="G1296" i="1"/>
  <c r="G3237" i="1"/>
  <c r="G3518" i="1"/>
  <c r="G2534" i="1"/>
  <c r="G2471" i="1"/>
  <c r="G2374" i="1"/>
  <c r="G482" i="1"/>
  <c r="G3425" i="1"/>
  <c r="G1345" i="1"/>
  <c r="G3456" i="1"/>
  <c r="G3642" i="1"/>
  <c r="G1180" i="1"/>
  <c r="G2959" i="1"/>
  <c r="G2484" i="1"/>
  <c r="G3025" i="1"/>
  <c r="G2177" i="1"/>
  <c r="G2451" i="1"/>
  <c r="G2422" i="1"/>
  <c r="G2886" i="1"/>
  <c r="G1554" i="1"/>
  <c r="G3442" i="1"/>
  <c r="G3479" i="1"/>
  <c r="G405" i="1"/>
  <c r="G3400" i="1"/>
  <c r="G2404" i="1"/>
  <c r="G805" i="1"/>
  <c r="G2059" i="1"/>
  <c r="G27" i="1"/>
  <c r="G1613" i="1"/>
  <c r="G86" i="1"/>
  <c r="G346" i="1"/>
  <c r="G3" i="1"/>
  <c r="G2723" i="1"/>
  <c r="G3190" i="1"/>
  <c r="G3208" i="1"/>
  <c r="G34" i="1"/>
  <c r="G2450" i="1"/>
  <c r="G52" i="1"/>
  <c r="G2120" i="1"/>
  <c r="G2182" i="1"/>
  <c r="G2370" i="1"/>
  <c r="G3665" i="1"/>
  <c r="G3741" i="1"/>
  <c r="G1172" i="1"/>
  <c r="G3824" i="1"/>
  <c r="G362" i="1"/>
  <c r="G639" i="1"/>
  <c r="G1589" i="1"/>
  <c r="G1953" i="1"/>
  <c r="G98" i="1"/>
  <c r="G3885" i="1"/>
  <c r="G1158" i="1"/>
  <c r="G2502" i="1"/>
  <c r="G1791" i="1"/>
  <c r="G2497" i="1"/>
  <c r="G2341" i="1"/>
  <c r="G2873" i="1"/>
  <c r="G2529" i="1"/>
  <c r="G3077" i="1"/>
  <c r="G1761" i="1"/>
  <c r="G564" i="1"/>
  <c r="G3804" i="1"/>
  <c r="G614" i="1"/>
  <c r="G585" i="1"/>
  <c r="G3727" i="1"/>
  <c r="G1715" i="1"/>
  <c r="G1919" i="1"/>
  <c r="G195" i="1"/>
  <c r="G3718" i="1"/>
  <c r="G2475" i="1"/>
  <c r="G2135" i="1"/>
  <c r="G571" i="1"/>
  <c r="G1468" i="1"/>
  <c r="G1844" i="1"/>
  <c r="G3227" i="1"/>
  <c r="G1867" i="1"/>
  <c r="G590" i="1"/>
  <c r="G2893" i="1"/>
  <c r="G3173" i="1"/>
  <c r="G2546" i="1"/>
  <c r="G2493" i="1"/>
  <c r="G3276" i="1"/>
  <c r="G1348" i="1"/>
  <c r="G2839" i="1"/>
  <c r="G2539" i="1"/>
  <c r="G2480" i="1"/>
  <c r="G2343" i="1"/>
  <c r="G2528" i="1"/>
  <c r="G2530" i="1"/>
  <c r="G1072" i="1"/>
  <c r="G1083" i="1"/>
  <c r="G2552" i="1"/>
  <c r="G3576" i="1"/>
  <c r="G70" i="1"/>
  <c r="G1380" i="1"/>
  <c r="G223" i="1"/>
  <c r="G1076" i="1"/>
  <c r="G2571" i="1"/>
  <c r="G448" i="1"/>
  <c r="G1736" i="1"/>
  <c r="G1681" i="1"/>
  <c r="G3170" i="1"/>
  <c r="G2904" i="1"/>
  <c r="G1309" i="1"/>
  <c r="G2425" i="1"/>
  <c r="G2433" i="1"/>
  <c r="G2432" i="1"/>
  <c r="G2540" i="1"/>
  <c r="G3420" i="1"/>
  <c r="G1080" i="1"/>
  <c r="G2220" i="1"/>
  <c r="G1300" i="1"/>
  <c r="G2709" i="1"/>
  <c r="G2303" i="1"/>
  <c r="G3404" i="1"/>
  <c r="G1947" i="1"/>
  <c r="G1298" i="1"/>
  <c r="G2236" i="1"/>
  <c r="G1146" i="1"/>
  <c r="G1198" i="1"/>
  <c r="G1310" i="1"/>
  <c r="G3550" i="1"/>
  <c r="G3038" i="1"/>
  <c r="G2008" i="1"/>
  <c r="G2294" i="1"/>
  <c r="G3698" i="1"/>
  <c r="G3787" i="1"/>
  <c r="G2117" i="1"/>
  <c r="G240" i="1"/>
  <c r="G1218" i="1"/>
  <c r="G2350" i="1"/>
  <c r="G2716" i="1"/>
  <c r="G3799" i="1"/>
  <c r="G3440" i="1"/>
  <c r="G3009" i="1"/>
  <c r="G469" i="1"/>
  <c r="G146" i="1"/>
  <c r="G847" i="1"/>
  <c r="G166" i="1"/>
  <c r="G2383" i="1"/>
  <c r="G3093" i="1"/>
  <c r="G2888" i="1"/>
  <c r="G3745" i="1"/>
  <c r="G864" i="1"/>
  <c r="G3587" i="1"/>
  <c r="G145" i="1"/>
  <c r="G2454" i="1"/>
  <c r="G190" i="1"/>
  <c r="G3214" i="1"/>
  <c r="G1530" i="1"/>
  <c r="G636" i="1"/>
  <c r="G409" i="1"/>
  <c r="G2040" i="1"/>
  <c r="G3684" i="1"/>
  <c r="G3685" i="1"/>
  <c r="G1261" i="1"/>
  <c r="G2748" i="1"/>
  <c r="G2418" i="1"/>
  <c r="G127" i="1"/>
  <c r="G2964" i="1"/>
  <c r="G1144" i="1"/>
  <c r="G213" i="1"/>
  <c r="G2514" i="1"/>
  <c r="G737" i="1"/>
  <c r="G2781" i="1"/>
  <c r="G674" i="1"/>
  <c r="G2525" i="1"/>
  <c r="G1658" i="1"/>
  <c r="G3063" i="1"/>
  <c r="G3215" i="1"/>
  <c r="G2956" i="1"/>
  <c r="G2541" i="1"/>
  <c r="G64" i="1"/>
  <c r="G3088" i="1"/>
  <c r="G3644" i="1"/>
  <c r="G69" i="1"/>
  <c r="G1475" i="1"/>
  <c r="G402" i="1"/>
  <c r="G3445" i="1"/>
  <c r="G871" i="1"/>
  <c r="G1862" i="1"/>
  <c r="G66" i="1"/>
  <c r="G1605" i="1"/>
  <c r="G3282" i="1"/>
  <c r="G1330" i="1"/>
  <c r="G858" i="1"/>
  <c r="G2511" i="1"/>
  <c r="G2357" i="1"/>
  <c r="G1507" i="1"/>
  <c r="G1448" i="1"/>
  <c r="G117" i="1"/>
  <c r="G1308" i="1"/>
  <c r="G621" i="1"/>
  <c r="G1975" i="1"/>
  <c r="G1579" i="1"/>
  <c r="G3169" i="1"/>
  <c r="G1517" i="1"/>
  <c r="G1571" i="1"/>
  <c r="G1676" i="1"/>
  <c r="G3546" i="1"/>
  <c r="G3062" i="1"/>
  <c r="G965" i="1"/>
  <c r="G802" i="1"/>
  <c r="G647" i="1"/>
  <c r="G1470" i="1"/>
  <c r="G1824" i="1"/>
  <c r="G2919" i="1"/>
  <c r="G1573" i="1"/>
  <c r="G1550" i="1"/>
  <c r="G1578" i="1"/>
  <c r="G1714" i="1"/>
  <c r="G1229" i="1"/>
  <c r="G2192" i="1"/>
  <c r="G2411" i="1"/>
  <c r="G1704" i="1"/>
  <c r="G3061" i="1"/>
  <c r="G993" i="1"/>
  <c r="G1323" i="1"/>
  <c r="G1319" i="1"/>
  <c r="G1838" i="1"/>
  <c r="G3368" i="1"/>
  <c r="G274" i="1"/>
  <c r="G1402" i="1"/>
  <c r="G3013" i="1"/>
  <c r="G769" i="1"/>
  <c r="G3976" i="1"/>
  <c r="G1164" i="1"/>
  <c r="G1338" i="1"/>
  <c r="G1555" i="1"/>
  <c r="G1078" i="1"/>
  <c r="G3160" i="1"/>
  <c r="G3248" i="1"/>
  <c r="G3334" i="1"/>
  <c r="G1563" i="1"/>
  <c r="G3112" i="1"/>
  <c r="G1615" i="1"/>
  <c r="G3027" i="1"/>
  <c r="G3918" i="1"/>
  <c r="G2690" i="1"/>
  <c r="G2056" i="1"/>
  <c r="G1628" i="1"/>
  <c r="G325" i="1"/>
  <c r="G1948" i="1"/>
  <c r="G2786" i="1"/>
  <c r="G1899" i="1"/>
  <c r="G1437" i="1"/>
  <c r="G3434" i="1"/>
  <c r="G1887" i="1"/>
  <c r="G3786" i="1"/>
  <c r="G3732" i="1"/>
  <c r="G1346" i="1"/>
  <c r="G381" i="1"/>
  <c r="G463" i="1"/>
  <c r="G1356" i="1"/>
  <c r="G3019" i="1"/>
  <c r="G878" i="1"/>
  <c r="G1497" i="1"/>
  <c r="G3054" i="1"/>
  <c r="G3121" i="1"/>
  <c r="G3144" i="1"/>
  <c r="G1495" i="1"/>
  <c r="G1917" i="1"/>
  <c r="G2805" i="1"/>
  <c r="G2837" i="1"/>
  <c r="G1234" i="1"/>
  <c r="G3455" i="1"/>
  <c r="G1986" i="1"/>
  <c r="G3120" i="1"/>
  <c r="G799" i="1"/>
  <c r="G1796" i="1"/>
  <c r="G410" i="1"/>
  <c r="G262" i="1"/>
  <c r="G2527" i="1"/>
  <c r="G1335" i="1"/>
  <c r="G2736" i="1"/>
  <c r="G3719" i="1"/>
  <c r="G436" i="1"/>
  <c r="G1591" i="1"/>
  <c r="G1562" i="1"/>
  <c r="G2648" i="1"/>
  <c r="G2649" i="1"/>
  <c r="G2778" i="1"/>
  <c r="G2792" i="1"/>
  <c r="G1763" i="1"/>
  <c r="G2733" i="1"/>
  <c r="G2875" i="1"/>
  <c r="G3244" i="1"/>
  <c r="G2415" i="1"/>
  <c r="G3085" i="1"/>
  <c r="G2435" i="1"/>
  <c r="G2970" i="1"/>
  <c r="G2942" i="1"/>
  <c r="G1066" i="1"/>
  <c r="G3388" i="1"/>
  <c r="G1611" i="1"/>
  <c r="G3109" i="1"/>
  <c r="G3247" i="1"/>
  <c r="G3092" i="1"/>
  <c r="G3217" i="1"/>
  <c r="G2920" i="1"/>
  <c r="G2550" i="1"/>
  <c r="G3210" i="1"/>
  <c r="G2923" i="1"/>
  <c r="G2490" i="1"/>
  <c r="G2452" i="1"/>
  <c r="G2522" i="1"/>
  <c r="G3461" i="1"/>
  <c r="G2434" i="1"/>
  <c r="G3386" i="1"/>
  <c r="G3339" i="1"/>
  <c r="G2794" i="1"/>
  <c r="G1684" i="1"/>
  <c r="G3377" i="1"/>
  <c r="G3907" i="1"/>
  <c r="G2879" i="1"/>
  <c r="G2607" i="1"/>
  <c r="G3944" i="1"/>
  <c r="G3224" i="1"/>
  <c r="G537" i="1"/>
  <c r="G1484" i="1"/>
  <c r="G3527" i="1"/>
  <c r="G2977" i="1"/>
  <c r="G443" i="1"/>
  <c r="G2935" i="1"/>
  <c r="G137" i="1"/>
  <c r="G2494" i="1"/>
  <c r="G727" i="1"/>
  <c r="G3856" i="1"/>
  <c r="G1483" i="1"/>
  <c r="G2019" i="1"/>
  <c r="G1642" i="1"/>
  <c r="G1305" i="1"/>
  <c r="G3498" i="1"/>
  <c r="G2951" i="1"/>
  <c r="G3648" i="1"/>
  <c r="G2762" i="1"/>
  <c r="G2283" i="1"/>
  <c r="G1834" i="1"/>
  <c r="G2741" i="1"/>
  <c r="G401" i="1"/>
  <c r="G2203" i="1"/>
  <c r="G3205" i="1"/>
  <c r="G813" i="1"/>
  <c r="G3871" i="1"/>
  <c r="G3416" i="1"/>
  <c r="G3850" i="1"/>
  <c r="G1549" i="1"/>
  <c r="G2760" i="1"/>
  <c r="G2616" i="1"/>
  <c r="G2597" i="1"/>
  <c r="G1320" i="1"/>
  <c r="G2118" i="1"/>
  <c r="G2017" i="1"/>
  <c r="G3216" i="1"/>
  <c r="G2305" i="1"/>
  <c r="G2029" i="1"/>
  <c r="G3686" i="1"/>
  <c r="G315" i="1"/>
  <c r="G178" i="1"/>
  <c r="G2393" i="1"/>
  <c r="G2560" i="1"/>
  <c r="G1886" i="1"/>
  <c r="G2492" i="1"/>
  <c r="G1901" i="1"/>
  <c r="G2557" i="1"/>
  <c r="G92" i="1"/>
  <c r="G2139" i="1"/>
  <c r="G2981" i="1"/>
  <c r="G1619" i="1"/>
  <c r="G2142" i="1"/>
  <c r="G2629" i="1"/>
  <c r="G778" i="1"/>
  <c r="G811" i="1"/>
  <c r="G3839" i="1"/>
  <c r="G3852" i="1"/>
  <c r="G3726" i="1"/>
  <c r="G3359" i="1"/>
  <c r="G1227" i="1"/>
  <c r="G808" i="1"/>
  <c r="G1102" i="1"/>
  <c r="G2815" i="1"/>
  <c r="G2066" i="1"/>
  <c r="G2133" i="1"/>
  <c r="G2439" i="1"/>
  <c r="G575" i="1"/>
  <c r="G982" i="1"/>
  <c r="G1403" i="1"/>
  <c r="G3654" i="1"/>
  <c r="G1407" i="1"/>
  <c r="G2436" i="1"/>
  <c r="G2743" i="1"/>
  <c r="G2147" i="1"/>
  <c r="G1577" i="1"/>
  <c r="G1086" i="1"/>
  <c r="G3566" i="1"/>
  <c r="G1427" i="1"/>
  <c r="G95" i="1"/>
  <c r="G2980" i="1"/>
  <c r="G306" i="1"/>
  <c r="G1017" i="1"/>
  <c r="G3906" i="1"/>
  <c r="G816" i="1"/>
  <c r="G500" i="1"/>
  <c r="G1976" i="1"/>
  <c r="G1161" i="1"/>
  <c r="G2798" i="1"/>
  <c r="G1823" i="1"/>
  <c r="G1050" i="1"/>
  <c r="G2804" i="1"/>
  <c r="G1553" i="1"/>
  <c r="G100" i="1"/>
  <c r="G1933" i="1"/>
  <c r="G2419" i="1"/>
  <c r="G3342" i="1"/>
  <c r="G2642" i="1"/>
  <c r="G546" i="1"/>
  <c r="G3797" i="1"/>
  <c r="G2612" i="1"/>
  <c r="G1629" i="1"/>
  <c r="G2872" i="1"/>
  <c r="G302" i="1"/>
  <c r="G3021" i="1"/>
  <c r="G1552" i="1"/>
  <c r="G544" i="1"/>
  <c r="G1817" i="1"/>
  <c r="G2987" i="1"/>
  <c r="G1741" i="1"/>
  <c r="G3542" i="1"/>
  <c r="G3366" i="1"/>
  <c r="G1859" i="1"/>
  <c r="G3370" i="1"/>
  <c r="G1426" i="1"/>
  <c r="G1263" i="1"/>
  <c r="G3614" i="1"/>
  <c r="G3152" i="1"/>
  <c r="G303" i="1"/>
  <c r="G46" i="1"/>
  <c r="G418" i="1"/>
  <c r="G1342" i="1"/>
  <c r="G976" i="1"/>
  <c r="G1242" i="1"/>
  <c r="G3588" i="1"/>
  <c r="G1839" i="1"/>
  <c r="G2106" i="1"/>
  <c r="G1061" i="1"/>
  <c r="G3626" i="1"/>
  <c r="G3172" i="1"/>
  <c r="G1702" i="1"/>
  <c r="G3142" i="1"/>
  <c r="G71" i="1"/>
  <c r="G3504" i="1"/>
  <c r="G1165" i="1"/>
  <c r="G1711" i="1"/>
  <c r="G3649" i="1"/>
  <c r="G3430" i="1"/>
  <c r="G2430" i="1"/>
  <c r="G3001" i="1"/>
  <c r="G2858" i="1"/>
  <c r="G3409" i="1"/>
  <c r="G1693" i="1"/>
  <c r="G3468" i="1"/>
  <c r="G2882" i="1"/>
  <c r="G2095" i="1"/>
  <c r="G3349" i="1"/>
  <c r="G1983" i="1"/>
  <c r="G186" i="1"/>
  <c r="G431" i="1"/>
  <c r="G2231" i="1"/>
  <c r="G3175" i="1"/>
  <c r="G3676" i="1"/>
  <c r="G3731" i="1"/>
  <c r="G520" i="1"/>
  <c r="G503" i="1"/>
  <c r="G1729" i="1"/>
  <c r="G3415" i="1"/>
  <c r="G191" i="1"/>
  <c r="G1529" i="1"/>
  <c r="G2394" i="1"/>
  <c r="G1548" i="1"/>
  <c r="G3865" i="1"/>
  <c r="G986" i="1"/>
  <c r="G1590" i="1"/>
  <c r="G794" i="1"/>
  <c r="G475" i="1"/>
  <c r="G3829" i="1"/>
  <c r="G2286" i="1"/>
  <c r="G352" i="1"/>
  <c r="G3290" i="1"/>
  <c r="G25" i="1"/>
  <c r="G525" i="1"/>
  <c r="G2134" i="1"/>
  <c r="G3345" i="1"/>
  <c r="G3926" i="1"/>
  <c r="G2710" i="1"/>
  <c r="G1226" i="1"/>
  <c r="G2968" i="1"/>
  <c r="G387" i="1"/>
  <c r="G2228" i="1"/>
  <c r="G282" i="1"/>
  <c r="G3754" i="1"/>
  <c r="G1029" i="1"/>
  <c r="G2999" i="1"/>
  <c r="G284" i="1"/>
  <c r="G128" i="1"/>
  <c r="G3682" i="1"/>
  <c r="G2462" i="1"/>
  <c r="G1697" i="1"/>
  <c r="G398" i="1"/>
  <c r="G1873" i="1"/>
  <c r="G85" i="1"/>
  <c r="G1299" i="1"/>
  <c r="G595" i="1"/>
  <c r="G2953" i="1"/>
  <c r="G2438" i="1"/>
  <c r="G790" i="1"/>
  <c r="G856" i="1"/>
  <c r="G3249" i="1"/>
  <c r="G30" i="1"/>
  <c r="G2457" i="1"/>
  <c r="G1244" i="1"/>
  <c r="G1541" i="1"/>
  <c r="G3765" i="1"/>
  <c r="G1148" i="1"/>
  <c r="G241" i="1"/>
  <c r="G271" i="1"/>
  <c r="G1748" i="1"/>
  <c r="G1622" i="1"/>
  <c r="G2921" i="1"/>
  <c r="G3730" i="1"/>
  <c r="G1592" i="1"/>
  <c r="G1531" i="1"/>
  <c r="G2737" i="1"/>
  <c r="G3383" i="1"/>
  <c r="G3589" i="1"/>
  <c r="G679" i="1"/>
  <c r="G3412" i="1"/>
  <c r="G1956" i="1"/>
  <c r="G2226" i="1"/>
  <c r="G1980" i="1"/>
  <c r="G906" i="1"/>
  <c r="G3932" i="1"/>
  <c r="G1974" i="1"/>
  <c r="G3752" i="1"/>
  <c r="G179" i="1"/>
  <c r="G3770" i="1"/>
  <c r="G1301" i="1"/>
  <c r="G324" i="1"/>
  <c r="G2917" i="1"/>
  <c r="G3379" i="1"/>
  <c r="G2234" i="1"/>
  <c r="G3223" i="1"/>
  <c r="G1123" i="1"/>
  <c r="G2038" i="1"/>
  <c r="G2961" i="1"/>
  <c r="G1945" i="1"/>
  <c r="G1938" i="1"/>
  <c r="G848" i="1"/>
  <c r="G947" i="1"/>
  <c r="G539" i="1"/>
  <c r="G1864" i="1"/>
  <c r="G3335" i="1"/>
  <c r="G480" i="1"/>
  <c r="G446" i="1"/>
  <c r="G1121" i="1"/>
  <c r="G374" i="1"/>
  <c r="G3067" i="1"/>
  <c r="G3853" i="1"/>
  <c r="G3075" i="1"/>
  <c r="G2023" i="1"/>
  <c r="G2078" i="1"/>
  <c r="G2785" i="1"/>
  <c r="G2691" i="1"/>
  <c r="G3603" i="1"/>
  <c r="G988" i="1"/>
  <c r="G1209" i="1"/>
  <c r="G3220" i="1"/>
  <c r="G309" i="1"/>
  <c r="G3842" i="1"/>
  <c r="G3753" i="1"/>
  <c r="G699" i="1"/>
  <c r="G942" i="1"/>
  <c r="G3094" i="1"/>
  <c r="G3122" i="1"/>
  <c r="G3707" i="1"/>
  <c r="G152" i="1"/>
  <c r="G3141" i="1"/>
  <c r="G597" i="1"/>
  <c r="G1136" i="1"/>
  <c r="G3358" i="1"/>
  <c r="G2969" i="1"/>
  <c r="G1178" i="1"/>
  <c r="G1866" i="1"/>
  <c r="G3872" i="1"/>
  <c r="G658" i="1"/>
  <c r="G2082" i="1"/>
  <c r="G1367" i="1"/>
  <c r="G1951" i="1"/>
  <c r="G3913" i="1"/>
  <c r="G3558" i="1"/>
  <c r="G990" i="1"/>
  <c r="G1771" i="1"/>
  <c r="G2588" i="1"/>
  <c r="G3638" i="1"/>
  <c r="G3937" i="1"/>
  <c r="G1350" i="1"/>
  <c r="G2807" i="1"/>
  <c r="G898" i="1"/>
  <c r="G2469" i="1"/>
  <c r="G1392" i="1"/>
  <c r="G2802" i="1"/>
  <c r="G2238" i="1"/>
  <c r="G1911" i="1"/>
  <c r="G3635" i="1"/>
  <c r="G2706" i="1"/>
  <c r="G3179" i="1"/>
  <c r="G2898" i="1"/>
  <c r="G1661" i="1"/>
  <c r="G2687" i="1"/>
  <c r="G2072" i="1"/>
  <c r="G363" i="1"/>
  <c r="G2726" i="1"/>
  <c r="G1532" i="1"/>
  <c r="G767" i="1"/>
  <c r="G3475" i="1"/>
  <c r="G386" i="1"/>
  <c r="G1861" i="1"/>
  <c r="G2328" i="1"/>
  <c r="G611" i="1"/>
  <c r="G3537" i="1"/>
  <c r="G2666" i="1"/>
  <c r="G2582" i="1"/>
  <c r="G483" i="1"/>
  <c r="G1206" i="1"/>
  <c r="G2413" i="1"/>
  <c r="G2545" i="1"/>
  <c r="G3228" i="1"/>
  <c r="G1921" i="1"/>
  <c r="G3525" i="1"/>
  <c r="G1139" i="1"/>
  <c r="G2445" i="1"/>
  <c r="G2634" i="1"/>
  <c r="G1679" i="1"/>
  <c r="G120" i="1"/>
  <c r="G1845" i="1"/>
  <c r="G1175" i="1"/>
  <c r="G1270" i="1"/>
  <c r="G487" i="1"/>
  <c r="G185" i="1"/>
  <c r="G3948" i="1"/>
  <c r="G148" i="1"/>
  <c r="G683" i="1"/>
  <c r="G814" i="1"/>
  <c r="G2012" i="1"/>
  <c r="G3868" i="1"/>
  <c r="G1202" i="1"/>
  <c r="G2152" i="1"/>
  <c r="G2388" i="1"/>
  <c r="G1315" i="1"/>
  <c r="G907" i="1"/>
  <c r="G3240" i="1"/>
  <c r="G3014" i="1"/>
  <c r="G1364" i="1"/>
  <c r="G1806" i="1"/>
  <c r="G228" i="1"/>
  <c r="G762" i="1"/>
  <c r="G3438" i="1"/>
  <c r="G627" i="1"/>
  <c r="G1114" i="1"/>
  <c r="G2765" i="1"/>
  <c r="G3706" i="1"/>
  <c r="G1200" i="1"/>
  <c r="G2662" i="1"/>
  <c r="G3226" i="1"/>
  <c r="G3743" i="1"/>
  <c r="G673" i="1"/>
  <c r="G392" i="1"/>
  <c r="G2761" i="1"/>
  <c r="G2047" i="1"/>
  <c r="G3554" i="1"/>
  <c r="G2127" i="1"/>
  <c r="G1537" i="1"/>
  <c r="G1478" i="1"/>
  <c r="G933" i="1"/>
  <c r="G3030" i="1"/>
  <c r="G3855" i="1"/>
  <c r="G960" i="1"/>
  <c r="G3668" i="1"/>
  <c r="G165" i="1"/>
  <c r="G492" i="1"/>
  <c r="G2957" i="1"/>
  <c r="G1855" i="1"/>
  <c r="G1647" i="1"/>
  <c r="G2424" i="1"/>
  <c r="G1848" i="1"/>
  <c r="G2063" i="1"/>
  <c r="G2694" i="1"/>
  <c r="G3466" i="1"/>
  <c r="G2089" i="1"/>
  <c r="G479" i="1"/>
  <c r="G1837" i="1"/>
  <c r="G3158" i="1"/>
  <c r="G3203" i="1"/>
  <c r="G3176" i="1"/>
  <c r="G283" i="1"/>
  <c r="G2818" i="1"/>
  <c r="G3840" i="1"/>
  <c r="G351" i="1"/>
  <c r="G2375" i="1"/>
  <c r="G1395" i="1"/>
  <c r="G427" i="1"/>
  <c r="G2922" i="1"/>
  <c r="G3422" i="1"/>
  <c r="G1493" i="1"/>
  <c r="G656" i="1"/>
  <c r="G975" i="1"/>
  <c r="G3583" i="1"/>
  <c r="G743" i="1"/>
  <c r="G1137" i="1"/>
  <c r="G553" i="1"/>
  <c r="G79" i="1"/>
  <c r="G798" i="1"/>
  <c r="G2998" i="1"/>
  <c r="G2014" i="1"/>
  <c r="G3151" i="1"/>
  <c r="G824" i="1"/>
  <c r="G3405" i="1"/>
  <c r="G3392" i="1"/>
</calcChain>
</file>

<file path=xl/sharedStrings.xml><?xml version="1.0" encoding="utf-8"?>
<sst xmlns="http://schemas.openxmlformats.org/spreadsheetml/2006/main" count="24959" uniqueCount="13096">
  <si>
    <t>Transaction Date</t>
  </si>
  <si>
    <t>Title</t>
  </si>
  <si>
    <t>Publisher</t>
  </si>
  <si>
    <t>PubDate</t>
  </si>
  <si>
    <t>eISBN13</t>
  </si>
  <si>
    <t>Subject</t>
  </si>
  <si>
    <t>Dewey</t>
  </si>
  <si>
    <t>LCC</t>
  </si>
  <si>
    <t>Access Model</t>
  </si>
  <si>
    <t>Full Record URL</t>
  </si>
  <si>
    <t>Bound for Beatitude a Thomistic Study in Eschatology and Ethics</t>
  </si>
  <si>
    <t>Catholic University of America Press</t>
  </si>
  <si>
    <t>Religion</t>
  </si>
  <si>
    <t>BX4700</t>
  </si>
  <si>
    <t>1-user</t>
  </si>
  <si>
    <t>https://ebookcentral.proquest.com/lib/cam/detail.action?docID=5762854</t>
  </si>
  <si>
    <t>The British Soldier and His Libraries, C. 1822-1901</t>
  </si>
  <si>
    <t>Palgrave Macmillan Limited</t>
  </si>
  <si>
    <t>History; Library Science</t>
  </si>
  <si>
    <t>027.6/5</t>
  </si>
  <si>
    <t>D1-DX301</t>
  </si>
  <si>
    <t>https://ebookcentral.proquest.com/lib/cam/detail.action?docID=4720193</t>
  </si>
  <si>
    <t>Warriors, Witches, Whores : Women in Israeli Cinema</t>
  </si>
  <si>
    <t>Wayne State University</t>
  </si>
  <si>
    <t>Fine Arts</t>
  </si>
  <si>
    <t>PN1993.5.I86 .H377 2017</t>
  </si>
  <si>
    <t>https://ebookcentral.proquest.com/lib/cam/detail.action?docID=5647958</t>
  </si>
  <si>
    <t>Capital and Convict : Race, Region, and Punishment in Post–Civil War America</t>
  </si>
  <si>
    <t>University of Virginia Press</t>
  </si>
  <si>
    <t>Social Science</t>
  </si>
  <si>
    <t>HV9466 .K364 2017</t>
  </si>
  <si>
    <t>https://ebookcentral.proquest.com/lib/cam/detail.action?docID=5150992</t>
  </si>
  <si>
    <t>From Page to Place : American Literary Tourism and the Afterlives of Authors</t>
  </si>
  <si>
    <t>University of Massachusetts Press</t>
  </si>
  <si>
    <t>Literature; Social Science</t>
  </si>
  <si>
    <t>https://ebookcentral.proquest.com/lib/cam/detail.action?docID=5599559</t>
  </si>
  <si>
    <t>Female Imprisonment : An Ethnography of Everyday Life in Confinement</t>
  </si>
  <si>
    <t>Springer International Publishing</t>
  </si>
  <si>
    <t>HV6001-7220.5</t>
  </si>
  <si>
    <t>https://ebookcentral.proquest.com/lib/cam/detail.action?docID=5205529</t>
  </si>
  <si>
    <t>Octopus Crowd : Maritime History and the Business of Australian Pearling in Its Schooner Age</t>
  </si>
  <si>
    <t>University of Alabama Press</t>
  </si>
  <si>
    <t>Agriculture; Economics; Business/Management</t>
  </si>
  <si>
    <t>SH377</t>
  </si>
  <si>
    <t>https://ebookcentral.proquest.com/lib/cam/detail.action?docID=5841944</t>
  </si>
  <si>
    <t>Franz Boas : The Emergence of the Anthropologist</t>
  </si>
  <si>
    <t>Nebraska</t>
  </si>
  <si>
    <t>GN21.B6 .Z869 2019</t>
  </si>
  <si>
    <t>https://ebookcentral.proquest.com/lib/cam/detail.action?docID=5897662</t>
  </si>
  <si>
    <t>Sputnik : The Shock of the Century</t>
  </si>
  <si>
    <t>UNP - Nebraska</t>
  </si>
  <si>
    <t>History</t>
  </si>
  <si>
    <t>https://ebookcentral.proquest.com/lib/cam/detail.action?docID=5995654</t>
  </si>
  <si>
    <t>These Islands Are Ours : The Social Construction of Territorial Disputes in Northeast Asia</t>
  </si>
  <si>
    <t>Stanford University Press</t>
  </si>
  <si>
    <t>Political Science</t>
  </si>
  <si>
    <t>https://ebookcentral.proquest.com/lib/cam/detail.action?docID=6129701</t>
  </si>
  <si>
    <t>Mastering the Inland Seas : How Lighthouses, Navigational Aids, and Harbors Transformed the Great Lakes and America</t>
  </si>
  <si>
    <t>University of Wisconsin Press</t>
  </si>
  <si>
    <t>Business/Management</t>
  </si>
  <si>
    <t>HE631</t>
  </si>
  <si>
    <t>https://ebookcentral.proquest.com/lib/cam/detail.action?docID=6183706</t>
  </si>
  <si>
    <t>The Lives and Deaths of Shelter Animals : The Lives and Deaths of Shelter Animals</t>
  </si>
  <si>
    <t>https://ebookcentral.proquest.com/lib/cam/detail.action?docID=6221307</t>
  </si>
  <si>
    <t>Mapping Indigenous Land : Native Land Grants in Colonial New Spain</t>
  </si>
  <si>
    <t>University of Oklahoma Press</t>
  </si>
  <si>
    <t>History; Geography/Travel</t>
  </si>
  <si>
    <t>https://ebookcentral.proquest.com/lib/cam/detail.action?docID=6174319</t>
  </si>
  <si>
    <t>Moravian Soundscapes : A Sonic History of the Moravian Missions in Early Pennsylvania</t>
  </si>
  <si>
    <t>Indiana University Press</t>
  </si>
  <si>
    <t>Fine Arts; Science: Physics</t>
  </si>
  <si>
    <t>https://ebookcentral.proquest.com/lib/cam/detail.action?docID=6178386</t>
  </si>
  <si>
    <t>The Elements of Foucault</t>
  </si>
  <si>
    <t>University of Minnesota Press</t>
  </si>
  <si>
    <t>Philosophy</t>
  </si>
  <si>
    <t>https://ebookcentral.proquest.com/lib/cam/detail.action?docID=6185858</t>
  </si>
  <si>
    <t>The Heritage of Sufism : Classical Persian Sufism from Its Origins to Rumi (700-1300) V. 1</t>
  </si>
  <si>
    <t>Oneworld Publications</t>
  </si>
  <si>
    <t>https://ebookcentral.proquest.com/lib/cam/detail.action?docID=6229026</t>
  </si>
  <si>
    <t>On the History of Rock Music</t>
  </si>
  <si>
    <t>Lang, Peter, GmbH, Internationaler Verlag der Wissenschaften</t>
  </si>
  <si>
    <t>ML3534 -- .K353 2014eb</t>
  </si>
  <si>
    <t>https://ebookcentral.proquest.com/lib/cam/detail.action?docID=1815665</t>
  </si>
  <si>
    <t>Globalisation, Human Rights Education and Reforms</t>
  </si>
  <si>
    <t>Springer Netherlands</t>
  </si>
  <si>
    <t>Education; Political Science</t>
  </si>
  <si>
    <t>L1-991</t>
  </si>
  <si>
    <t>https://ebookcentral.proquest.com/lib/cam/detail.action?docID=4696639</t>
  </si>
  <si>
    <t>Nighttime Breastfeeding : An American Cultural Dilemma</t>
  </si>
  <si>
    <t>Berghahn Books, Incorporated</t>
  </si>
  <si>
    <t>Medicine; Home Economics</t>
  </si>
  <si>
    <t>RJ216 .T68 2015</t>
  </si>
  <si>
    <t>https://ebookcentral.proquest.com/lib/cam/detail.action?docID=1644365</t>
  </si>
  <si>
    <t>Ethnicity, Commodity, In/Corporation</t>
  </si>
  <si>
    <t>Political Science; Social Science</t>
  </si>
  <si>
    <t>https://ebookcentral.proquest.com/lib/cam/detail.action?docID=6228898</t>
  </si>
  <si>
    <t>The Use and Abuse of Cinema : German Legacies from the Weimar Era to the Present</t>
  </si>
  <si>
    <t>Columbia University Press</t>
  </si>
  <si>
    <t>PN1993.5.G3 -- .R43 2015eb</t>
  </si>
  <si>
    <t>https://ebookcentral.proquest.com/lib/cam/detail.action?docID=1985510</t>
  </si>
  <si>
    <t>Subject Lessons : Hegel, Lacan, and the Future of Materialism</t>
  </si>
  <si>
    <t>Northwestern University Press</t>
  </si>
  <si>
    <t>B825</t>
  </si>
  <si>
    <t>https://ebookcentral.proquest.com/lib/cam/detail.action?docID=6031691</t>
  </si>
  <si>
    <t>Bearing Witness : Memories of Arkansas Slavery</t>
  </si>
  <si>
    <t>University of Arkansas Press</t>
  </si>
  <si>
    <t>E445</t>
  </si>
  <si>
    <t>https://ebookcentral.proquest.com/lib/cam/detail.action?docID=2007566</t>
  </si>
  <si>
    <t>Counter-Desecration : A Glossary for Writing Within the Anthropocene</t>
  </si>
  <si>
    <t>Wesleyan University Press</t>
  </si>
  <si>
    <t>Language/Linguistics; Social Science</t>
  </si>
  <si>
    <t>P39.5 .C686 2018</t>
  </si>
  <si>
    <t>https://ebookcentral.proquest.com/lib/cam/detail.action?docID=5593922</t>
  </si>
  <si>
    <t>Brand New Nation : Capitalist Dreams and Nationalist Designs in Twenty-First-Century India</t>
  </si>
  <si>
    <t>History; Social Science</t>
  </si>
  <si>
    <t>https://ebookcentral.proquest.com/lib/cam/detail.action?docID=6207788</t>
  </si>
  <si>
    <t>Thinking Plant Animal Human : Encounters with Communities of Difference</t>
  </si>
  <si>
    <t>https://ebookcentral.proquest.com/lib/cam/detail.action?docID=6208857</t>
  </si>
  <si>
    <t>Postcinematic Vision : The Coevolution of Moving-Image Media and the Spectator</t>
  </si>
  <si>
    <t>https://ebookcentral.proquest.com/lib/cam/detail.action?docID=6118823</t>
  </si>
  <si>
    <t>Re-Membering and Surviving : African American Fiction of the Vietnam War</t>
  </si>
  <si>
    <t>Michigan State University Press</t>
  </si>
  <si>
    <t>Literature</t>
  </si>
  <si>
    <t>PS374</t>
  </si>
  <si>
    <t>https://ebookcentral.proquest.com/lib/cam/detail.action?docID=6222697</t>
  </si>
  <si>
    <t>Postcolonial Disaster : Narrating Catastrophe in the Twenty-First Century</t>
  </si>
  <si>
    <t>820.9/3582</t>
  </si>
  <si>
    <t>PR830</t>
  </si>
  <si>
    <t>https://ebookcentral.proquest.com/lib/cam/detail.action?docID=6126053</t>
  </si>
  <si>
    <t>Archaeology of East Asian Shipbuilding</t>
  </si>
  <si>
    <t>University Press of Florida</t>
  </si>
  <si>
    <t>Engineering; Engineering: General; Engineering: Mechanical; Military Science</t>
  </si>
  <si>
    <t>623.820095/09009</t>
  </si>
  <si>
    <t>VM99 -- .K568 2016eb</t>
  </si>
  <si>
    <t>https://ebookcentral.proquest.com/lib/cam/detail.action?docID=4391220</t>
  </si>
  <si>
    <t>Wrong : A Critical Biography of Dennis Cooper</t>
  </si>
  <si>
    <t>University of Iowa Press</t>
  </si>
  <si>
    <t>813/.54</t>
  </si>
  <si>
    <t>PS3553</t>
  </si>
  <si>
    <t>https://ebookcentral.proquest.com/lib/cam/detail.action?docID=6176834</t>
  </si>
  <si>
    <t>Global Russian Cultures</t>
  </si>
  <si>
    <t>Geography/Travel; History</t>
  </si>
  <si>
    <t>909/.049171</t>
  </si>
  <si>
    <t>DK35</t>
  </si>
  <si>
    <t>https://ebookcentral.proquest.com/lib/cam/detail.action?docID=5604901</t>
  </si>
  <si>
    <t>Makhan Singh: a Revolutionary Kenyan Trade Unionist</t>
  </si>
  <si>
    <t>Vita Books</t>
  </si>
  <si>
    <t>DT433.58 .M354 2015</t>
  </si>
  <si>
    <t>https://ebookcentral.proquest.com/lib/cam/detail.action?docID=5760544</t>
  </si>
  <si>
    <t>Intermarriage from Central Europe to Central Asia : Mixed Families in the Age of Extremes</t>
  </si>
  <si>
    <t>https://ebookcentral.proquest.com/lib/cam/detail.action?docID=6208814</t>
  </si>
  <si>
    <t>Degrowth in the Suburbs : A Radical Urban Imaginary</t>
  </si>
  <si>
    <t>Springer Singapore Pte. Limited</t>
  </si>
  <si>
    <t>H1-970.9</t>
  </si>
  <si>
    <t>https://ebookcentral.proquest.com/lib/cam/detail.action?docID=5521391</t>
  </si>
  <si>
    <t>The Men of Mobtown : Policing Baltimore in the Age of Slavery and Emancipation</t>
  </si>
  <si>
    <t>University of North Carolina Press</t>
  </si>
  <si>
    <t>363.2/309752609034</t>
  </si>
  <si>
    <t>HV8148.B2 .M35 2018</t>
  </si>
  <si>
    <t>https://ebookcentral.proquest.com/lib/cam/detail.action?docID=5327170</t>
  </si>
  <si>
    <t>Paradise Lost : A Primer</t>
  </si>
  <si>
    <t>PR3562</t>
  </si>
  <si>
    <t>https://ebookcentral.proquest.com/lib/cam/detail.action?docID=6109861</t>
  </si>
  <si>
    <t>Pious Imperialism : Spanish Rule and the Cult of Saints in Mexico City</t>
  </si>
  <si>
    <t>University of New Mexico Press</t>
  </si>
  <si>
    <t>F1231 .C666 2019</t>
  </si>
  <si>
    <t>https://ebookcentral.proquest.com/lib/cam/detail.action?docID=5745462</t>
  </si>
  <si>
    <t>James Baldwin and the Heavenly City : Prophecy, Apocalypse, and Doubt</t>
  </si>
  <si>
    <t>818/.5409</t>
  </si>
  <si>
    <t>PS3552</t>
  </si>
  <si>
    <t>https://ebookcentral.proquest.com/lib/cam/detail.action?docID=5485279</t>
  </si>
  <si>
    <t>The Hidden History of Burma : A Crisis of Race and Capitalism</t>
  </si>
  <si>
    <t>Atlantic Books Ltd</t>
  </si>
  <si>
    <t>https://ebookcentral.proquest.com/lib/cam/detail.action?docID=5836655</t>
  </si>
  <si>
    <t>Making Money : How Taiwanese Industrialists Embraced the Global Economy</t>
  </si>
  <si>
    <t>Business/Management; Economics</t>
  </si>
  <si>
    <t>338.8/8951249</t>
  </si>
  <si>
    <t>HC430.5 .H35 2018</t>
  </si>
  <si>
    <t>https://ebookcentral.proquest.com/lib/cam/detail.action?docID=5178041</t>
  </si>
  <si>
    <t>An Oasis City</t>
  </si>
  <si>
    <t>New York University Press</t>
  </si>
  <si>
    <t>932/.2</t>
  </si>
  <si>
    <t>DT73.A53B34 2015</t>
  </si>
  <si>
    <t>https://ebookcentral.proquest.com/lib/cam/detail.action?docID=4084513</t>
  </si>
  <si>
    <t>Wild Policy : Indigeneity and the Unruly Logics of Intervention</t>
  </si>
  <si>
    <t>https://ebookcentral.proquest.com/lib/cam/detail.action?docID=6192097</t>
  </si>
  <si>
    <t>Rhetoric, Through Everyday Things</t>
  </si>
  <si>
    <t>Language/Linguistics; Literature</t>
  </si>
  <si>
    <t>P301</t>
  </si>
  <si>
    <t>https://ebookcentral.proquest.com/lib/cam/detail.action?docID=4570866</t>
  </si>
  <si>
    <t>Jane Austen : The Banker's Sister</t>
  </si>
  <si>
    <t>Biteback Publishing</t>
  </si>
  <si>
    <t>PR4036.C547 2017</t>
  </si>
  <si>
    <t>https://ebookcentral.proquest.com/lib/cam/detail.action?docID=4873707</t>
  </si>
  <si>
    <t>Landscapes of Freedom : Building a Postemancipation Society in the Rainforests of Western Colombia</t>
  </si>
  <si>
    <t>University of Arizona Press</t>
  </si>
  <si>
    <t>Social Science; History</t>
  </si>
  <si>
    <t>F2299</t>
  </si>
  <si>
    <t>https://ebookcentral.proquest.com/lib/cam/detail.action?docID=5234330</t>
  </si>
  <si>
    <t>Trading Life : Organ Trafficking, Illicit Networks, and Exploitation</t>
  </si>
  <si>
    <t>https://ebookcentral.proquest.com/lib/cam/detail.action?docID=6192808</t>
  </si>
  <si>
    <t>Subversive Traditions : Reinventing the West African Epic</t>
  </si>
  <si>
    <t>PL8010</t>
  </si>
  <si>
    <t>https://ebookcentral.proquest.com/lib/cam/detail.action?docID=5851798</t>
  </si>
  <si>
    <t>Pentecostalism and Development : Churches, NGOs and Social Change in Africa</t>
  </si>
  <si>
    <t>Social Science; Religion</t>
  </si>
  <si>
    <t>https://ebookcentral.proquest.com/lib/cam/detail.action?docID=1058303</t>
  </si>
  <si>
    <t>Ambivalent Macbeth</t>
  </si>
  <si>
    <t>Sydney University Press</t>
  </si>
  <si>
    <t>PR2823 .W458 2018</t>
  </si>
  <si>
    <t>https://ebookcentral.proquest.com/lib/cam/detail.action?docID=5574417</t>
  </si>
  <si>
    <t>The State and Nation-Building Processes in Kenya since Independence : Remembering the Marginalised and Forgotten Issues and Ac</t>
  </si>
  <si>
    <t>Langaa RPCIG</t>
  </si>
  <si>
    <t>DT433.58 .S738 2019</t>
  </si>
  <si>
    <t>https://ebookcentral.proquest.com/lib/cam/detail.action?docID=5844772</t>
  </si>
  <si>
    <t>Postnormal Conservation : Botanic Gardens and the Reordering of Biodiversity Governance</t>
  </si>
  <si>
    <t>State University of New York Press</t>
  </si>
  <si>
    <t>Science: Botany; Science</t>
  </si>
  <si>
    <t>QK71 .N484 2019</t>
  </si>
  <si>
    <t>https://ebookcentral.proquest.com/lib/cam/detail.action?docID=5778073</t>
  </si>
  <si>
    <t>Chinese Aspectual Particle Le : A Comprehensive Guide</t>
  </si>
  <si>
    <t>Hong Kong University Press</t>
  </si>
  <si>
    <t>Language/Linguistics</t>
  </si>
  <si>
    <t>https://ebookcentral.proquest.com/lib/cam/detail.action?docID=6118455</t>
  </si>
  <si>
    <t>The Making of Selim : Succession, Legitimacy, and Memory in the Early Modern Ottoman World</t>
  </si>
  <si>
    <t>DR504.C56 2017</t>
  </si>
  <si>
    <t>https://ebookcentral.proquest.com/lib/cam/detail.action?docID=4804429</t>
  </si>
  <si>
    <t>The Lived Nile : Environment, Disease, and Material Colonial Economy in Egypt</t>
  </si>
  <si>
    <t>https://ebookcentral.proquest.com/lib/cam/detail.action?docID=6143789</t>
  </si>
  <si>
    <t>Political Economy of Post-Apartheid South Africa</t>
  </si>
  <si>
    <t>CODESRIA (Conseil pour le Developpement de la Recherche Economique et Sociale en Afrique)</t>
  </si>
  <si>
    <t>Political Science; History</t>
  </si>
  <si>
    <t>JQ1931.G85 2015</t>
  </si>
  <si>
    <t>https://ebookcentral.proquest.com/lib/cam/detail.action?docID=4865493</t>
  </si>
  <si>
    <t>Transgender: a Reference Handbook</t>
  </si>
  <si>
    <t>ABC-CLIO, LLC</t>
  </si>
  <si>
    <t>HQ77.9 .D486 2019</t>
  </si>
  <si>
    <t>https://ebookcentral.proquest.com/lib/cam/detail.action?docID=5660362</t>
  </si>
  <si>
    <t>Cultural Values in Political Economy</t>
  </si>
  <si>
    <t>https://ebookcentral.proquest.com/lib/cam/detail.action?docID=6247235</t>
  </si>
  <si>
    <t>Art World City : The Creative Economy of Artists and Urban Life in Dakar</t>
  </si>
  <si>
    <t>N7399.S42.D354 2017</t>
  </si>
  <si>
    <t>https://ebookcentral.proquest.com/lib/cam/detail.action?docID=4856433</t>
  </si>
  <si>
    <t>Weird Westerns : Race, Gender, Genre</t>
  </si>
  <si>
    <t>https://ebookcentral.proquest.com/lib/cam/detail.action?docID=6229831</t>
  </si>
  <si>
    <t>Ausgrabungen 1998-2001 in der Zentralen Oberstadt von Tall Mozan/Urkes Die Keramik der Früh-Gazira V- Alt-Gazira II-Zeit</t>
  </si>
  <si>
    <t>Harrassowitz Verlag</t>
  </si>
  <si>
    <t>DS94.5 -- .S36 2013eb</t>
  </si>
  <si>
    <t>https://ebookcentral.proquest.com/lib/cam/detail.action?docID=1766053</t>
  </si>
  <si>
    <t>A Crisis of Community : The Trials and Transformation of a New England Town, 1815-1848</t>
  </si>
  <si>
    <t>F74.B56.F85 2014eb</t>
  </si>
  <si>
    <t>https://ebookcentral.proquest.com/lib/cam/detail.action?docID=1656086</t>
  </si>
  <si>
    <t>Asemic : The Art of Writing</t>
  </si>
  <si>
    <t>Fine Arts; Language/Linguistics; Literature</t>
  </si>
  <si>
    <t>https://ebookcentral.proquest.com/lib/cam/detail.action?docID=6002230</t>
  </si>
  <si>
    <t>Talkative Polity : Radio, Domination, and Citizenship in Uganda</t>
  </si>
  <si>
    <t>Ohio University Press</t>
  </si>
  <si>
    <t>JQ2951.A91 .B757 2019</t>
  </si>
  <si>
    <t>https://ebookcentral.proquest.com/lib/cam/detail.action?docID=6033036</t>
  </si>
  <si>
    <t>Resurrecting Slavery : Racial Legacies and White Supremacy in France</t>
  </si>
  <si>
    <t>Temple University Press</t>
  </si>
  <si>
    <t>305.896/044</t>
  </si>
  <si>
    <t>DC34</t>
  </si>
  <si>
    <t>https://ebookcentral.proquest.com/lib/cam/detail.action?docID=4786325</t>
  </si>
  <si>
    <t>Japan's Foreign Policy Making : Central Government Reforms, Decision-Making Processes, and Diplomacy</t>
  </si>
  <si>
    <t>JA1-92</t>
  </si>
  <si>
    <t>https://ebookcentral.proquest.com/lib/cam/detail.action?docID=4987567</t>
  </si>
  <si>
    <t>Autonomous Vehicles : The Road to Economic Growth?</t>
  </si>
  <si>
    <t>Brookings Institution Press</t>
  </si>
  <si>
    <t>Engineering; Political Science</t>
  </si>
  <si>
    <t>https://ebookcentral.proquest.com/lib/cam/detail.action?docID=6038907</t>
  </si>
  <si>
    <t>Black Venus 2010 : They Called Her Hottentot</t>
  </si>
  <si>
    <t>Fine Arts; Social Science</t>
  </si>
  <si>
    <t>305.48/8961</t>
  </si>
  <si>
    <t>NX652</t>
  </si>
  <si>
    <t>https://ebookcentral.proquest.com/lib/cam/detail.action?docID=547501</t>
  </si>
  <si>
    <t>Vietnam's Strategic Thinking During the Third Indochina War</t>
  </si>
  <si>
    <t>959.604/2</t>
  </si>
  <si>
    <t>DS559</t>
  </si>
  <si>
    <t>https://ebookcentral.proquest.com/lib/cam/detail.action?docID=6027099</t>
  </si>
  <si>
    <t>Mystery 101 : An Introduction to the Big Questions and the Limits of Human Knowledge</t>
  </si>
  <si>
    <t>BD201 .J664 2018</t>
  </si>
  <si>
    <t>https://ebookcentral.proquest.com/lib/cam/detail.action?docID=5301692</t>
  </si>
  <si>
    <t>Puppets, Gods, and Brands : Theorizing the Age of Animation from Taiwan</t>
  </si>
  <si>
    <t>University of Hawaii Press</t>
  </si>
  <si>
    <t>P96.C432 .S55 2019</t>
  </si>
  <si>
    <t>https://ebookcentral.proquest.com/lib/cam/detail.action?docID=5849248</t>
  </si>
  <si>
    <t>Northrop Frye and Others : Interpenetrating Visions</t>
  </si>
  <si>
    <t>University of Ottawa Press</t>
  </si>
  <si>
    <t>PN75.F7 .D464 2018</t>
  </si>
  <si>
    <t>https://ebookcentral.proquest.com/lib/cam/detail.action?docID=5512126</t>
  </si>
  <si>
    <t>Kings of Disaster : Dualism, Centralism and the Scapegoat King in Southeastern Sudan</t>
  </si>
  <si>
    <t>GN652.S93 .S56 2017</t>
  </si>
  <si>
    <t>https://ebookcentral.proquest.com/lib/cam/detail.action?docID=5191186</t>
  </si>
  <si>
    <t>Riemannian Geometry</t>
  </si>
  <si>
    <t>Springer Berlin / Heidelberg</t>
  </si>
  <si>
    <t>Mathematics</t>
  </si>
  <si>
    <t>516.3/73</t>
  </si>
  <si>
    <t>QA1-939</t>
  </si>
  <si>
    <t>https://ebookcentral.proquest.com/lib/cam/detail.action?docID=3088235</t>
  </si>
  <si>
    <t>In Defense of Israel : A Memoir of a Political Life</t>
  </si>
  <si>
    <t>DS126.6.A735 .A746 2018</t>
  </si>
  <si>
    <t>https://ebookcentral.proquest.com/lib/cam/detail.action?docID=5179988</t>
  </si>
  <si>
    <t>Beyond Imperial Aesthetics : Theories of Art and Politics in East Asia</t>
  </si>
  <si>
    <t>N72.P6 .B496 2019</t>
  </si>
  <si>
    <t>https://ebookcentral.proquest.com/lib/cam/detail.action?docID=5851484</t>
  </si>
  <si>
    <t>Freedom Farmers : Agricultural Resistance and the Black Freedom Movement</t>
  </si>
  <si>
    <t>E185.86 .W458 2018</t>
  </si>
  <si>
    <t>https://ebookcentral.proquest.com/lib/cam/detail.action?docID=5574865</t>
  </si>
  <si>
    <t>Mihrî Hatun : Performance, Gender-Bending, and Subversion in Ottoman Intellectual History</t>
  </si>
  <si>
    <t>Syracuse University Press</t>
  </si>
  <si>
    <t>PL248.M48 .H385 2017</t>
  </si>
  <si>
    <t>https://ebookcentral.proquest.com/lib/cam/detail.action?docID=5192737</t>
  </si>
  <si>
    <t>Defending the American Way of Life : Sport, Culture, and the Cold War</t>
  </si>
  <si>
    <t>Sport &amp;amp; Recreation; Social Science</t>
  </si>
  <si>
    <t>306.4/83</t>
  </si>
  <si>
    <t>GV706</t>
  </si>
  <si>
    <t>https://ebookcentral.proquest.com/lib/cam/detail.action?docID=5524166</t>
  </si>
  <si>
    <t>The Field of Imagination : Thomas Paine and Eighteenth-Century Poetry</t>
  </si>
  <si>
    <t>PS819 .C543 2019</t>
  </si>
  <si>
    <t>https://ebookcentral.proquest.com/lib/cam/detail.action?docID=5847220</t>
  </si>
  <si>
    <t>We Want Land to Live : Making Political Space for Food Sovereignty</t>
  </si>
  <si>
    <t>University of Georgia Press</t>
  </si>
  <si>
    <t>Economics; Business/Management</t>
  </si>
  <si>
    <t>338.1/9</t>
  </si>
  <si>
    <t>HD9000.5.T738 2017</t>
  </si>
  <si>
    <t>https://ebookcentral.proquest.com/lib/cam/detail.action?docID=4833610</t>
  </si>
  <si>
    <t>Genoa's Freedom : Entrepreneurship, Republicanism, and the Spanish Atlantic</t>
  </si>
  <si>
    <t>Lexington Books</t>
  </si>
  <si>
    <t>Business/Management; History</t>
  </si>
  <si>
    <t>HB109.A2.S256 2017</t>
  </si>
  <si>
    <t>https://ebookcentral.proquest.com/lib/cam/detail.action?docID=4805244</t>
  </si>
  <si>
    <t>Sports Journalism : A History of Glory, Fame, and Technology</t>
  </si>
  <si>
    <t>Journalism; Social Science; Sport &amp;amp; Recreation</t>
  </si>
  <si>
    <t>https://ebookcentral.proquest.com/lib/cam/detail.action?docID=6189413</t>
  </si>
  <si>
    <t>Transnational Nationalism and Collective Identity among the American Irish</t>
  </si>
  <si>
    <t>E184</t>
  </si>
  <si>
    <t>https://ebookcentral.proquest.com/lib/cam/detail.action?docID=6194937</t>
  </si>
  <si>
    <t>The Country Where My Heart Is : Historical Archaeologies of Nationalism and National Identity</t>
  </si>
  <si>
    <t>CC175.C686 2017eb</t>
  </si>
  <si>
    <t>https://ebookcentral.proquest.com/lib/cam/detail.action?docID=4844365</t>
  </si>
  <si>
    <t>Fuel : A Speculative Dictionary</t>
  </si>
  <si>
    <t>Engineering: Chemical; Engineering</t>
  </si>
  <si>
    <t>TP316.P56 2016</t>
  </si>
  <si>
    <t>https://ebookcentral.proquest.com/lib/cam/detail.action?docID=4525978</t>
  </si>
  <si>
    <t>Queer Mexico : Cinema and Television since 2000</t>
  </si>
  <si>
    <t>PN1995.9.H55 .S658 2017</t>
  </si>
  <si>
    <t>https://ebookcentral.proquest.com/lib/cam/detail.action?docID=5558740</t>
  </si>
  <si>
    <t>Gothic Queer Culture : Marginalized Communities and the Ghosts of Insidious Trauma</t>
  </si>
  <si>
    <t>HQ76.96 .W478 2019</t>
  </si>
  <si>
    <t>https://ebookcentral.proquest.com/lib/cam/detail.action?docID=5846379</t>
  </si>
  <si>
    <t>The Business Reinvention of Japan : How to Make Sense of the New Japan and Why It Matters</t>
  </si>
  <si>
    <t>https://ebookcentral.proquest.com/lib/cam/detail.action?docID=6177135</t>
  </si>
  <si>
    <t>A Christian Samurai : The Trials of Baba Bunko</t>
  </si>
  <si>
    <t>275.2/07092</t>
  </si>
  <si>
    <t>BR1306</t>
  </si>
  <si>
    <t>https://ebookcentral.proquest.com/lib/cam/detail.action?docID=4592425</t>
  </si>
  <si>
    <t>The Politics of Paradigms : Thomas S. Kuhn, James B. Conant, and the Cold War Struggle for Men's Minds</t>
  </si>
  <si>
    <t>Science; Science: General</t>
  </si>
  <si>
    <t>Q143.K83 .R457 2019</t>
  </si>
  <si>
    <t>https://ebookcentral.proquest.com/lib/cam/detail.action?docID=5756078</t>
  </si>
  <si>
    <t>Reset in Stone : Memory and Reuse in Ancient Athens</t>
  </si>
  <si>
    <t>DF289 .R687 2019</t>
  </si>
  <si>
    <t>https://ebookcentral.proquest.com/lib/cam/detail.action?docID=6026492</t>
  </si>
  <si>
    <t>W. G. Sebald’s Postsecular Redemption : Catastrophe with Spectator</t>
  </si>
  <si>
    <t>PT2681</t>
  </si>
  <si>
    <t>https://ebookcentral.proquest.com/lib/cam/detail.action?docID=5530592</t>
  </si>
  <si>
    <t>Revisiting Slavery and Antislavery : Towards a Critical Analysis</t>
  </si>
  <si>
    <t>https://ebookcentral.proquest.com/lib/cam/detail.action?docID=5508335</t>
  </si>
  <si>
    <t>The Narrative Self in Early Christianity : Essays in Honor of Judith Perkins</t>
  </si>
  <si>
    <t>Society of Biblical Literature</t>
  </si>
  <si>
    <t>BS2871</t>
  </si>
  <si>
    <t>https://ebookcentral.proquest.com/lib/cam/detail.action?docID=5896829</t>
  </si>
  <si>
    <t>The Humanities in the Age of Information and Post-Truth</t>
  </si>
  <si>
    <t>General Works/Reference</t>
  </si>
  <si>
    <t>001.3071/173</t>
  </si>
  <si>
    <t>AZ183</t>
  </si>
  <si>
    <t>https://ebookcentral.proquest.com/lib/cam/detail.action?docID=5603457</t>
  </si>
  <si>
    <t>Failing Desire</t>
  </si>
  <si>
    <t>Psychology; Philosophy</t>
  </si>
  <si>
    <t>BF575.F14 .M335 2018</t>
  </si>
  <si>
    <t>https://ebookcentral.proquest.com/lib/cam/detail.action?docID=5210800</t>
  </si>
  <si>
    <t>A History of Islam in 21 Women</t>
  </si>
  <si>
    <t>https://ebookcentral.proquest.com/lib/cam/detail.action?docID=5620447</t>
  </si>
  <si>
    <t>The Vision of the Priestly Narrative : Its Genre and Hermeneutics of Time</t>
  </si>
  <si>
    <t>BS1181</t>
  </si>
  <si>
    <t>https://ebookcentral.proquest.com/lib/cam/detail.action?docID=4729778</t>
  </si>
  <si>
    <t>Vladimir Jabotinsky's Russian Years, 1900-1925</t>
  </si>
  <si>
    <t>https://ebookcentral.proquest.com/lib/cam/detail.action?docID=6178385</t>
  </si>
  <si>
    <t>Emergence : Towards a New Metaphysics and Philosophy of Science</t>
  </si>
  <si>
    <t>University of Notre Dame Press</t>
  </si>
  <si>
    <t>B105.C473 .T333 2019</t>
  </si>
  <si>
    <t>https://ebookcentral.proquest.com/lib/cam/detail.action?docID=5883865</t>
  </si>
  <si>
    <t>Being Unfolded : Edith Stein on the Meaning of Being</t>
  </si>
  <si>
    <t>B3332</t>
  </si>
  <si>
    <t>https://ebookcentral.proquest.com/lib/cam/detail.action?docID=6109860</t>
  </si>
  <si>
    <t>The Life and Legend of James Watt : Collaboration, Natural Philosophy, and the Improvement of the Steam Engine</t>
  </si>
  <si>
    <t>University of Pittsburgh Press</t>
  </si>
  <si>
    <t>Engineering: Civil; Engineering: General; Engineering</t>
  </si>
  <si>
    <t>TA140</t>
  </si>
  <si>
    <t>https://ebookcentral.proquest.com/lib/cam/detail.action?docID=5752226</t>
  </si>
  <si>
    <t>The Optimist : A Social Biography of Tawfiq Zayyad</t>
  </si>
  <si>
    <t>Literature; Political Science; History</t>
  </si>
  <si>
    <t>https://ebookcentral.proquest.com/lib/cam/detail.action?docID=6191798</t>
  </si>
  <si>
    <t>Negotiating Power in Ezra-Nehemiah</t>
  </si>
  <si>
    <t>BS1355</t>
  </si>
  <si>
    <t>https://ebookcentral.proquest.com/lib/cam/detail.action?docID=4696777</t>
  </si>
  <si>
    <t>Ponderings VII-XI : Black Notebooks 1938-1939</t>
  </si>
  <si>
    <t>B3279.H48S36213 2016</t>
  </si>
  <si>
    <t>https://ebookcentral.proquest.com/lib/cam/detail.action?docID=4813365</t>
  </si>
  <si>
    <t>Beatriz Allende : A Revolutionary Life in Cold War Latin America</t>
  </si>
  <si>
    <t>Political Science; Social Science; History</t>
  </si>
  <si>
    <t>https://ebookcentral.proquest.com/lib/cam/detail.action?docID=6130854</t>
  </si>
  <si>
    <t>China's Global Engagement : Cooperation, Competition, and Influence in the 21st Century</t>
  </si>
  <si>
    <t>JZ1734 .C456 2017</t>
  </si>
  <si>
    <t>https://ebookcentral.proquest.com/lib/cam/detail.action?docID=5179960</t>
  </si>
  <si>
    <t>Power and Change in Iran : Politics of Contention and Conciliation</t>
  </si>
  <si>
    <t>History; Political Science</t>
  </si>
  <si>
    <t>DS318.825.P69 2016</t>
  </si>
  <si>
    <t>https://ebookcentral.proquest.com/lib/cam/detail.action?docID=4509185</t>
  </si>
  <si>
    <t>Rhythms of Race : Cuban Musicians and the Making of Latino New York City and Miami, 1940-1960</t>
  </si>
  <si>
    <t>780.89/68729107471</t>
  </si>
  <si>
    <t>ML480 -- .A274 2015eb</t>
  </si>
  <si>
    <t>https://ebookcentral.proquest.com/lib/cam/detail.action?docID=3039531</t>
  </si>
  <si>
    <t>The Pen Confronts the Sword : Exiled German Scholars Challenge Nazism</t>
  </si>
  <si>
    <t>PT3808 .Z35 2018</t>
  </si>
  <si>
    <t>https://ebookcentral.proquest.com/lib/cam/detail.action?docID=5504460</t>
  </si>
  <si>
    <t>Screen Culture and the Social Question, 1880-1914, KINtop 3</t>
  </si>
  <si>
    <t>PN1995.9.S6</t>
  </si>
  <si>
    <t>https://ebookcentral.proquest.com/lib/cam/detail.action?docID=4505227</t>
  </si>
  <si>
    <t>A City in Fragments : Urban Text in Modern Jerusalem</t>
  </si>
  <si>
    <t>https://ebookcentral.proquest.com/lib/cam/detail.action?docID=6187775</t>
  </si>
  <si>
    <t>Christianity Without God : Moving Beyond the Dogmas and Retrieving the Epic Moral Narrative</t>
  </si>
  <si>
    <t>BT304.95 -- .M34 2014eb</t>
  </si>
  <si>
    <t>https://ebookcentral.proquest.com/lib/cam/detail.action?docID=3408918</t>
  </si>
  <si>
    <t>Jane Austen and Leisure</t>
  </si>
  <si>
    <t>Bloomsbury Publishing Plc</t>
  </si>
  <si>
    <t>823/.7</t>
  </si>
  <si>
    <t>PR4038.L44 .S459 1999</t>
  </si>
  <si>
    <t>https://ebookcentral.proquest.com/lib/cam/detail.action?docID=5309518</t>
  </si>
  <si>
    <t>Standing with Standing Rock : Voices from the #NoDAPL Movement</t>
  </si>
  <si>
    <t>E99.D1 .S736 2019</t>
  </si>
  <si>
    <t>https://ebookcentral.proquest.com/lib/cam/detail.action?docID=5965331</t>
  </si>
  <si>
    <t>Tracing Childhood : Bioarchaeological Investigations of Early Lives in Antiquity</t>
  </si>
  <si>
    <t>HQ767.87.T73 2014eb</t>
  </si>
  <si>
    <t>https://ebookcentral.proquest.com/lib/cam/detail.action?docID=1677500</t>
  </si>
  <si>
    <t>Historical Ecology and Archaeology in the Galápagos Islands : A Legacy of Human Occupation</t>
  </si>
  <si>
    <t>986.6/5</t>
  </si>
  <si>
    <t>F3741.G2 .S734 2020</t>
  </si>
  <si>
    <t>https://ebookcentral.proquest.com/lib/cam/detail.action?docID=6027288</t>
  </si>
  <si>
    <t>Speculation : Politics, Ideology, Event</t>
  </si>
  <si>
    <t>111/.6</t>
  </si>
  <si>
    <t>B2949</t>
  </si>
  <si>
    <t>https://ebookcentral.proquest.com/lib/cam/detail.action?docID=5702885</t>
  </si>
  <si>
    <t>Sudden Heaven : The Collected Poems of Ruth Pitter, A Critical Edition</t>
  </si>
  <si>
    <t>Kent State University Press</t>
  </si>
  <si>
    <t>821/.914</t>
  </si>
  <si>
    <t>PR1175 .S833 2018</t>
  </si>
  <si>
    <t>https://ebookcentral.proquest.com/lib/cam/detail.action?docID=5378323</t>
  </si>
  <si>
    <t>Bodily Subjects : Essays on Gender and Health, 1800-2000</t>
  </si>
  <si>
    <t>McGill-Queen's University Press</t>
  </si>
  <si>
    <t>Social Science; Health</t>
  </si>
  <si>
    <t>613/.0424</t>
  </si>
  <si>
    <t>RA564.85.B63 2014eb</t>
  </si>
  <si>
    <t>https://ebookcentral.proquest.com/lib/cam/detail.action?docID=3332847</t>
  </si>
  <si>
    <t>A Story of Ruins : Presence and Absence in Chinese Art and Visual Culture</t>
  </si>
  <si>
    <t>Reaktion Books, Limited</t>
  </si>
  <si>
    <t>N8237.8.R8 -- W8 2012eb</t>
  </si>
  <si>
    <t>https://ebookcentral.proquest.com/lib/cam/detail.action?docID=1127620</t>
  </si>
  <si>
    <t>Safari Nation : A Social History of the Kruger National Park</t>
  </si>
  <si>
    <t>https://ebookcentral.proquest.com/lib/cam/detail.action?docID=6211799</t>
  </si>
  <si>
    <t>Apostles of Empire : The Jesuits and New France</t>
  </si>
  <si>
    <t>F1030.8 .M374 2019</t>
  </si>
  <si>
    <t>https://ebookcentral.proquest.com/lib/cam/detail.action?docID=5762224</t>
  </si>
  <si>
    <t>Decolonising Science, Technology, Engineering and Mathematics (STEM) in an Age of Technocolonialism : Recentring African Indigenous Knowledge and Belief Systems</t>
  </si>
  <si>
    <t>https://ebookcentral.proquest.com/lib/cam/detail.action?docID=6178553</t>
  </si>
  <si>
    <t>Full Spectrum Dominance : Irregular Warfare and the War on Terror</t>
  </si>
  <si>
    <t>Military Science</t>
  </si>
  <si>
    <t>UA23 .R936 2019</t>
  </si>
  <si>
    <t>https://ebookcentral.proquest.com/lib/cam/detail.action?docID=5896131</t>
  </si>
  <si>
    <t>Celluloid Classicism : Early Tamil Cinema and the Making of Modern Bharatanatyam</t>
  </si>
  <si>
    <t>Sport &amp;amp; Recreation</t>
  </si>
  <si>
    <t>GV1796.B4 .K757 2019</t>
  </si>
  <si>
    <t>https://ebookcentral.proquest.com/lib/cam/detail.action?docID=6033305</t>
  </si>
  <si>
    <t>Against Our Will : Men, Women and Rape</t>
  </si>
  <si>
    <t>Open Road Media</t>
  </si>
  <si>
    <t>HV6558 .B76 2013</t>
  </si>
  <si>
    <t>https://ebookcentral.proquest.com/lib/cam/detail.action?docID=1799676</t>
  </si>
  <si>
    <t>Scholars and Scholarship in Late Babylonian Uruk</t>
  </si>
  <si>
    <t>Mathematics; General Works/Reference</t>
  </si>
  <si>
    <t>https://ebookcentral.proquest.com/lib/cam/detail.action?docID=5630560</t>
  </si>
  <si>
    <t>After the Program Era : The Past, Present, and Future of Creative Writing in the University</t>
  </si>
  <si>
    <t>808/.00711</t>
  </si>
  <si>
    <t>PN181</t>
  </si>
  <si>
    <t>https://ebookcentral.proquest.com/lib/cam/detail.action?docID=4719478</t>
  </si>
  <si>
    <t>Curiosity Studies : A New Ecology of Knowledge</t>
  </si>
  <si>
    <t>Education; Psychology; Social Science</t>
  </si>
  <si>
    <t>https://ebookcentral.proquest.com/lib/cam/detail.action?docID=6152351</t>
  </si>
  <si>
    <t>Surrogate Warfare : The Transformation of War in the Twenty-First Century</t>
  </si>
  <si>
    <t>Georgetown University Press</t>
  </si>
  <si>
    <t>U42.5 .K754 2019</t>
  </si>
  <si>
    <t>https://ebookcentral.proquest.com/lib/cam/detail.action?docID=5741068</t>
  </si>
  <si>
    <t>Futures of Dance Studies</t>
  </si>
  <si>
    <t>GV1589 .F888 2020</t>
  </si>
  <si>
    <t>https://ebookcentral.proquest.com/lib/cam/detail.action?docID=6021226</t>
  </si>
  <si>
    <t>Indigenizing Philosophy Through the Land : A Trickster Methodology for Decolonizing Environmental Ethics and Indigenous Futures</t>
  </si>
  <si>
    <t>E98</t>
  </si>
  <si>
    <t>https://ebookcentral.proquest.com/lib/cam/detail.action?docID=5820515</t>
  </si>
  <si>
    <t>Delicious Mirth : The Life and Times of James Mccarroll</t>
  </si>
  <si>
    <t>811/.4</t>
  </si>
  <si>
    <t>PR9186.2 .P484 2018</t>
  </si>
  <si>
    <t>https://ebookcentral.proquest.com/lib/cam/detail.action?docID=5611976</t>
  </si>
  <si>
    <t>Ponderings II-VI : Black Notebooks 1931-1938</t>
  </si>
  <si>
    <t>B3279.H48 -- .H453 2016eb</t>
  </si>
  <si>
    <t>https://ebookcentral.proquest.com/lib/cam/detail.action?docID=4508873</t>
  </si>
  <si>
    <t>German Song Onstage : Lieder Performance in the Nineteenth and Early Twentieth Centuries</t>
  </si>
  <si>
    <t>https://ebookcentral.proquest.com/lib/cam/detail.action?docID=6168046</t>
  </si>
  <si>
    <t>News Parade : The American Newsreel and the World As Spectacle</t>
  </si>
  <si>
    <t>Journalism</t>
  </si>
  <si>
    <t>https://ebookcentral.proquest.com/lib/cam/detail.action?docID=6185855</t>
  </si>
  <si>
    <t>Dora, Hysteria and Gender : Reconsidering Freud's Case Study</t>
  </si>
  <si>
    <t>Leuven University Press</t>
  </si>
  <si>
    <t>Medicine; Psychology</t>
  </si>
  <si>
    <t>RC532 .D673 2018</t>
  </si>
  <si>
    <t>https://ebookcentral.proquest.com/lib/cam/detail.action?docID=5512457</t>
  </si>
  <si>
    <t>Cycles, Sequels, Spin-offs, Remakes, and Reboots : Multiplicities in Film and Television</t>
  </si>
  <si>
    <t>University of Texas Press</t>
  </si>
  <si>
    <t>791.43/6</t>
  </si>
  <si>
    <t>PN1995.9.S29C93 2016</t>
  </si>
  <si>
    <t>https://ebookcentral.proquest.com/lib/cam/detail.action?docID=4397281</t>
  </si>
  <si>
    <t>Entertaining History : The Civil War in Literature, Film, and Song</t>
  </si>
  <si>
    <t>Southern Illinois University Press</t>
  </si>
  <si>
    <t>https://ebookcentral.proquest.com/lib/cam/detail.action?docID=6129636</t>
  </si>
  <si>
    <t>Arkansas Travelers : Geographies of Exploration and Perception, 1804-1834</t>
  </si>
  <si>
    <t>976.7/04</t>
  </si>
  <si>
    <t>F411</t>
  </si>
  <si>
    <t>https://ebookcentral.proquest.com/lib/cam/detail.action?docID=5751906</t>
  </si>
  <si>
    <t>Archaeologies of Listening</t>
  </si>
  <si>
    <t>GN33 .A69</t>
  </si>
  <si>
    <t>https://ebookcentral.proquest.com/lib/cam/detail.action?docID=5726161</t>
  </si>
  <si>
    <t>Archives</t>
  </si>
  <si>
    <t>CD947 .L576 2019</t>
  </si>
  <si>
    <t>https://ebookcentral.proquest.com/lib/cam/detail.action?docID=5962869</t>
  </si>
  <si>
    <t>A Woman, a Man, a Nation : Mariquita Sánchez, Juan Manuel de Rosas, and the Beginnings of Argentina</t>
  </si>
  <si>
    <t>F2846.3.R7  .S58 2019</t>
  </si>
  <si>
    <t>https://ebookcentral.proquest.com/lib/cam/detail.action?docID=5899518</t>
  </si>
  <si>
    <t>The Chinese Atlantic : Seascapes and the Theatricality of Globalization</t>
  </si>
  <si>
    <t>F2169 .M489 2020</t>
  </si>
  <si>
    <t>https://ebookcentral.proquest.com/lib/cam/detail.action?docID=6143655</t>
  </si>
  <si>
    <t>The Fourth World : An Indian Reality</t>
  </si>
  <si>
    <t>E92 .M368 2019</t>
  </si>
  <si>
    <t>https://ebookcentral.proquest.com/lib/cam/detail.action?docID=5741492</t>
  </si>
  <si>
    <t>White Space Communication : Advances, Developments and Engineering Challenges</t>
  </si>
  <si>
    <t>Engineering; Engineering: Civil; Library Science</t>
  </si>
  <si>
    <t>TA1-2040</t>
  </si>
  <si>
    <t>https://ebookcentral.proquest.com/lib/cam/detail.action?docID=1967861</t>
  </si>
  <si>
    <t>How to Survive the Apocalypse : Zombies, Cylons, Faith, and Politics at the End of the World</t>
  </si>
  <si>
    <t>William B. Eerdmans Publishing Company</t>
  </si>
  <si>
    <t>BT877.J687 2016</t>
  </si>
  <si>
    <t>https://ebookcentral.proquest.com/lib/cam/detail.action?docID=4859095</t>
  </si>
  <si>
    <t>Matters of Belonging : Ethnographic Museums in a Changing Europe</t>
  </si>
  <si>
    <t>Sidestone Press</t>
  </si>
  <si>
    <t>GN35 .M388 2019</t>
  </si>
  <si>
    <t>https://ebookcentral.proquest.com/lib/cam/detail.action?docID=5900395</t>
  </si>
  <si>
    <t>The Connected Condition : Romanticism and the Dream of Communication</t>
  </si>
  <si>
    <t>PR571 .I337 2020</t>
  </si>
  <si>
    <t>https://ebookcentral.proquest.com/lib/cam/detail.action?docID=5917126</t>
  </si>
  <si>
    <t>The Call of the Heart : John M. Stahl and Hollywood Melodrama</t>
  </si>
  <si>
    <t>PN1998.3.S67 .C355 2018</t>
  </si>
  <si>
    <t>https://ebookcentral.proquest.com/lib/cam/detail.action?docID=5614094</t>
  </si>
  <si>
    <t>From New York to San Francisco : Travel Sketches from the Year 1869</t>
  </si>
  <si>
    <t>E168.M463 2017</t>
  </si>
  <si>
    <t>https://ebookcentral.proquest.com/lib/cam/detail.action?docID=5041702</t>
  </si>
  <si>
    <t>Age of Shojo : The Emergence, Evolution, and Power of Japanese Girls' Magazine Fiction</t>
  </si>
  <si>
    <t>Journalism; Literature</t>
  </si>
  <si>
    <t>PN5407.J8 .D655 2019</t>
  </si>
  <si>
    <t>https://ebookcentral.proquest.com/lib/cam/detail.action?docID=5756082</t>
  </si>
  <si>
    <t>Thunder from the Right : Ezra Taft Benson in Mormonism and Politics</t>
  </si>
  <si>
    <t>University of Illinois Press</t>
  </si>
  <si>
    <t>BX8695</t>
  </si>
  <si>
    <t>https://ebookcentral.proquest.com/lib/cam/detail.action?docID=5747458</t>
  </si>
  <si>
    <t>Mediating America : Black and Irish Press and the Struggle for Citizenship, 1870-1914</t>
  </si>
  <si>
    <t>PN4871</t>
  </si>
  <si>
    <t>https://ebookcentral.proquest.com/lib/cam/detail.action?docID=5627235</t>
  </si>
  <si>
    <t>The Seductions of Quantification : Measuring Human Rights, Gender Violence, and Sex Trafficking</t>
  </si>
  <si>
    <t>University of Chicago Press</t>
  </si>
  <si>
    <t>HV6250</t>
  </si>
  <si>
    <t>https://ebookcentral.proquest.com/lib/cam/detail.action?docID=6036918</t>
  </si>
  <si>
    <t>Thus Spoke Zarathustra (Selections)/Also sprach Zarathustra (Auswahl) : A Dual-Language Book</t>
  </si>
  <si>
    <t>Dover Publications</t>
  </si>
  <si>
    <t>B3313.A43E5 2004</t>
  </si>
  <si>
    <t>https://ebookcentral.proquest.com/lib/cam/detail.action?docID=1890165</t>
  </si>
  <si>
    <t>Silent Films in St. Augustine</t>
  </si>
  <si>
    <t>791.4309759/18</t>
  </si>
  <si>
    <t>PN1995.75.G734 2017</t>
  </si>
  <si>
    <t>https://ebookcentral.proquest.com/lib/cam/detail.action?docID=4983266</t>
  </si>
  <si>
    <t>The Institutionalization of Educational Cinema : North America and Europe in the 1910s And 1920s</t>
  </si>
  <si>
    <t>Education</t>
  </si>
  <si>
    <t>LB1044 .I578 2019</t>
  </si>
  <si>
    <t>https://ebookcentral.proquest.com/lib/cam/detail.action?docID=5981607</t>
  </si>
  <si>
    <t>Sexual Attraction : The Psychology of Allure</t>
  </si>
  <si>
    <t>Psychology</t>
  </si>
  <si>
    <t>155.3/1</t>
  </si>
  <si>
    <t>BF692.G537 2015</t>
  </si>
  <si>
    <t>https://ebookcentral.proquest.com/lib/cam/detail.action?docID=2067791</t>
  </si>
  <si>
    <t>The World's Din : Listening to records, radio and fllms in New Zealand 1880–1940</t>
  </si>
  <si>
    <t>Otago University Press</t>
  </si>
  <si>
    <t>ML3917.N45 .H637 2018</t>
  </si>
  <si>
    <t>https://ebookcentral.proquest.com/lib/cam/detail.action?docID=5967719</t>
  </si>
  <si>
    <t>From Quills to Tweets : How America Communicates about War and Revolution</t>
  </si>
  <si>
    <t>Social Science; Journalism</t>
  </si>
  <si>
    <t>P96.W352 .F766 2019</t>
  </si>
  <si>
    <t>https://ebookcentral.proquest.com/lib/cam/detail.action?docID=5965278</t>
  </si>
  <si>
    <t>Every Nation Has Its Dish : Black Bodies and Black Food in Twentieth-Century America</t>
  </si>
  <si>
    <t>https://ebookcentral.proquest.com/lib/cam/detail.action?docID=5596573</t>
  </si>
  <si>
    <t>Unsettled Scores : Politics, Hollywood, and the Film Music of Aaron Copland and Hanns Eisler</t>
  </si>
  <si>
    <t>https://ebookcentral.proquest.com/lib/cam/detail.action?docID=6001837</t>
  </si>
  <si>
    <t>The Erotics of Consolation : Desire and Distance in the Late Middle Ages</t>
  </si>
  <si>
    <t>Palgrave Macmillan</t>
  </si>
  <si>
    <t>PN1-PN6790</t>
  </si>
  <si>
    <t>https://ebookcentral.proquest.com/lib/cam/detail.action?docID=4716585</t>
  </si>
  <si>
    <t>Rewriting the Newspaper : The Storytelling Movement in American Print Journalism</t>
  </si>
  <si>
    <t>University of Missouri Press</t>
  </si>
  <si>
    <t>071/.3</t>
  </si>
  <si>
    <t>PN4867</t>
  </si>
  <si>
    <t>https://ebookcentral.proquest.com/lib/cam/detail.action?docID=5763198</t>
  </si>
  <si>
    <t>Ideological Storms : Intellectuals, Dictators, and the Totalitarian Temptation</t>
  </si>
  <si>
    <t>Central European University Press</t>
  </si>
  <si>
    <t>HX528 .I346 2019</t>
  </si>
  <si>
    <t>https://ebookcentral.proquest.com/lib/cam/detail.action?docID=5982502</t>
  </si>
  <si>
    <t>Civil Obedience : Complicity and Complacency in Chile since Pinochet</t>
  </si>
  <si>
    <t>F3100</t>
  </si>
  <si>
    <t>https://ebookcentral.proquest.com/lib/cam/detail.action?docID=5359067</t>
  </si>
  <si>
    <t>Wine of Reunion : Arabic Poems of Rumi</t>
  </si>
  <si>
    <t>891/.5511</t>
  </si>
  <si>
    <t>PK6480</t>
  </si>
  <si>
    <t>https://ebookcentral.proquest.com/lib/cam/detail.action?docID=5217660</t>
  </si>
  <si>
    <t>Arkansas Women : Their Lives and Times</t>
  </si>
  <si>
    <t>HQ1438.A8 .A75 2018</t>
  </si>
  <si>
    <t>https://ebookcentral.proquest.com/lib/cam/detail.action?docID=5391746</t>
  </si>
  <si>
    <t>Dying to Serve : Militarism, Affect, and the Politics of Sacrifice in the Pakistan Army</t>
  </si>
  <si>
    <t>306.2/7095491</t>
  </si>
  <si>
    <t>https://ebookcentral.proquest.com/lib/cam/detail.action?docID=6129693</t>
  </si>
  <si>
    <t>Heidegger's Poietic Writings : From Contributions to Philosophy to the Event</t>
  </si>
  <si>
    <t>B3279.H49 .V274 2018</t>
  </si>
  <si>
    <t>https://ebookcentral.proquest.com/lib/cam/detail.action?docID=5330041</t>
  </si>
  <si>
    <t>Archaeology below the Cliff : Race, Class, and Redlegs in Barbadian Sugar Society</t>
  </si>
  <si>
    <t>F2041+</t>
  </si>
  <si>
    <t>https://ebookcentral.proquest.com/lib/cam/detail.action?docID=5854872</t>
  </si>
  <si>
    <t>The Fathers of the Church in Christian Theology</t>
  </si>
  <si>
    <t>BR67 .F436 2019</t>
  </si>
  <si>
    <t>https://ebookcentral.proquest.com/lib/cam/detail.action?docID=5846192</t>
  </si>
  <si>
    <t>Healing Labor : Japanese Sex Work in the Gendered Economy</t>
  </si>
  <si>
    <t>https://ebookcentral.proquest.com/lib/cam/detail.action?docID=5986866</t>
  </si>
  <si>
    <t>The Limits of Liberty : Mobility and the Making of the Eastern U.S.-Mexico Border</t>
  </si>
  <si>
    <t>972/.1</t>
  </si>
  <si>
    <t>F786 .N525 2018</t>
  </si>
  <si>
    <t>https://ebookcentral.proquest.com/lib/cam/detail.action?docID=5387783</t>
  </si>
  <si>
    <t>The Political Economy of Collective Action, Inequality, and Development</t>
  </si>
  <si>
    <t>Social Science; Economics</t>
  </si>
  <si>
    <t>https://ebookcentral.proquest.com/lib/cam/detail.action?docID=6129702</t>
  </si>
  <si>
    <t>Robert Walser : A Companion</t>
  </si>
  <si>
    <t>PT2647</t>
  </si>
  <si>
    <t>https://ebookcentral.proquest.com/lib/cam/detail.action?docID=5348612</t>
  </si>
  <si>
    <t>Furious : Technological Feminism and Digital Futures</t>
  </si>
  <si>
    <t>Pluto Press</t>
  </si>
  <si>
    <t>HQ1154 .B377 2020</t>
  </si>
  <si>
    <t>https://ebookcentral.proquest.com/lib/cam/detail.action?docID=5976900</t>
  </si>
  <si>
    <t>I Suffer Not a Woman : Rethinking I Timothy 2:11-15 in Light of Ancient Evidence</t>
  </si>
  <si>
    <t>Baker Academic</t>
  </si>
  <si>
    <t>227/.8306</t>
  </si>
  <si>
    <t>BS2745.2 .K764 2014</t>
  </si>
  <si>
    <t>https://ebookcentral.proquest.com/lib/cam/detail.action?docID=4446202</t>
  </si>
  <si>
    <t>Textures of the Ordinary : Doing Anthropology after Wittgenstein</t>
  </si>
  <si>
    <t>Fordham University Press</t>
  </si>
  <si>
    <t>History; Philosophy; Social Science</t>
  </si>
  <si>
    <t>https://ebookcentral.proquest.com/lib/cam/detail.action?docID=6192005</t>
  </si>
  <si>
    <t>Are You With Me? : Kevin Boyle and the Rise of the Human Rights Movement</t>
  </si>
  <si>
    <t>The Lilliput Press</t>
  </si>
  <si>
    <t>https://ebookcentral.proquest.com/lib/cam/detail.action?docID=6129973</t>
  </si>
  <si>
    <t>Intimate Alien : The Hidden Story of the UFO</t>
  </si>
  <si>
    <t>General Works/Reference; Psychology; Religion</t>
  </si>
  <si>
    <t>https://ebookcentral.proquest.com/lib/cam/detail.action?docID=6129698</t>
  </si>
  <si>
    <t>Another Mind-Body Problem : A History of Racial Non-Being</t>
  </si>
  <si>
    <t>Social Science; Philosophy</t>
  </si>
  <si>
    <t>BD450 .H28725 2018</t>
  </si>
  <si>
    <t>https://ebookcentral.proquest.com/lib/cam/detail.action?docID=5399977</t>
  </si>
  <si>
    <t>Becoming Vaishnava in an Ideal Vedic City</t>
  </si>
  <si>
    <t>BL1285.832.M38 F35 2</t>
  </si>
  <si>
    <t>https://ebookcentral.proquest.com/lib/cam/detail.action?docID=5963789</t>
  </si>
  <si>
    <t>Mexico's Illicit Drug Networks and the State Reaction</t>
  </si>
  <si>
    <t>HV5840.M4 -- .J664 2016eb</t>
  </si>
  <si>
    <t>https://ebookcentral.proquest.com/lib/cam/detail.action?docID=4529409</t>
  </si>
  <si>
    <t>Gender Justice and Legal Reform in Egypt : Negotiating Muslim Family Law</t>
  </si>
  <si>
    <t>American University in Cairo Press</t>
  </si>
  <si>
    <t>HQ1236.5.E3 .A474 2017</t>
  </si>
  <si>
    <t>https://ebookcentral.proquest.com/lib/cam/detail.action?docID=5326143</t>
  </si>
  <si>
    <t>Beyond Nation : Time, Writing, and Community in the Work of AbeKōbō</t>
  </si>
  <si>
    <t>895.63/5</t>
  </si>
  <si>
    <t>PL845</t>
  </si>
  <si>
    <t>https://ebookcentral.proquest.com/lib/cam/detail.action?docID=4414773</t>
  </si>
  <si>
    <t>Design As Politics</t>
  </si>
  <si>
    <t>Architecture</t>
  </si>
  <si>
    <t>https://ebookcentral.proquest.com/lib/cam/detail.action?docID=6159198</t>
  </si>
  <si>
    <t>Caliphate Redefined : The Mystical Turn in Ottoman Political Thought</t>
  </si>
  <si>
    <t>Princeton University Press</t>
  </si>
  <si>
    <t>History; Religion</t>
  </si>
  <si>
    <t>956.1/0153</t>
  </si>
  <si>
    <t>BP166.9 .Y55 2018</t>
  </si>
  <si>
    <t>https://ebookcentral.proquest.com/lib/cam/detail.action?docID=5208900</t>
  </si>
  <si>
    <t>Women's Networks in Medieval France : Gender and Community in Montpellier, 1300-1350</t>
  </si>
  <si>
    <t>https://ebookcentral.proquest.com/lib/cam/detail.action?docID=4662207</t>
  </si>
  <si>
    <t>Precarious Hope : Migration and the Limits of Belonging in Turkey</t>
  </si>
  <si>
    <t>Social Science; Political Science</t>
  </si>
  <si>
    <t>JV8745 .P375 2019</t>
  </si>
  <si>
    <t>https://ebookcentral.proquest.com/lib/cam/detail.action?docID=5783094</t>
  </si>
  <si>
    <t>Remnants of Hegel : Remains of Ontology, Religion, and Community</t>
  </si>
  <si>
    <t>https://ebookcentral.proquest.com/lib/cam/detail.action?docID=5549101</t>
  </si>
  <si>
    <t>Lou Harrison : American Musical Maverick</t>
  </si>
  <si>
    <t>780.92 B</t>
  </si>
  <si>
    <t>ML410.H2066</t>
  </si>
  <si>
    <t>https://ebookcentral.proquest.com/lib/cam/detail.action?docID=4845285</t>
  </si>
  <si>
    <t>Nimble Tongues : Studies in Literary Translingualism</t>
  </si>
  <si>
    <t>Purdue University Press</t>
  </si>
  <si>
    <t>https://ebookcentral.proquest.com/lib/cam/detail.action?docID=6109209</t>
  </si>
  <si>
    <t>The Art of Protest : Culture and Activism from the Civil Rights Movement to the Present</t>
  </si>
  <si>
    <t>303.48/4</t>
  </si>
  <si>
    <t>HN90.R3 .R443 2019</t>
  </si>
  <si>
    <t>https://ebookcentral.proquest.com/lib/cam/detail.action?docID=5630912</t>
  </si>
  <si>
    <t>The Sound of the Liturgy : How Words Work In Worship</t>
  </si>
  <si>
    <t>SPCK</t>
  </si>
  <si>
    <t>BV15</t>
  </si>
  <si>
    <t>https://ebookcentral.proquest.com/lib/cam/detail.action?docID=1922519</t>
  </si>
  <si>
    <t>Staging Process : The Aesthetic Politics of Collective Performance</t>
  </si>
  <si>
    <t>PN2193</t>
  </si>
  <si>
    <t>https://ebookcentral.proquest.com/lib/cam/detail.action?docID=6026604</t>
  </si>
  <si>
    <t>Discourses of Race and Rising China</t>
  </si>
  <si>
    <t>https://ebookcentral.proquest.com/lib/cam/detail.action?docID=5683136</t>
  </si>
  <si>
    <t>Conflict in Aristotle's Political Philosophy</t>
  </si>
  <si>
    <t>JC71.A7 .S58 2019</t>
  </si>
  <si>
    <t>https://ebookcentral.proquest.com/lib/cam/detail.action?docID=5928331</t>
  </si>
  <si>
    <t>Scandinavian Penal History, Culture and Prison Practice : Embraced by the Welfare State?</t>
  </si>
  <si>
    <t>https://ebookcentral.proquest.com/lib/cam/detail.action?docID=4930051</t>
  </si>
  <si>
    <t>Zionism and Melancholy : The Short Life of Israel Zarchi</t>
  </si>
  <si>
    <t>Philosophy; Political Science; Religion</t>
  </si>
  <si>
    <t>https://ebookcentral.proquest.com/lib/cam/detail.action?docID=5772884</t>
  </si>
  <si>
    <t>Iran Reframed : Anxieties of Power in the Islamic Republic</t>
  </si>
  <si>
    <t>Fine Arts; Business/Management</t>
  </si>
  <si>
    <t>384/.80550904</t>
  </si>
  <si>
    <t>PN1993.5.I846 .B356 2019</t>
  </si>
  <si>
    <t>https://ebookcentral.proquest.com/lib/cam/detail.action?docID=5892302</t>
  </si>
  <si>
    <t>Frontiers of Boyhood : Imagining America, Past and Future</t>
  </si>
  <si>
    <t>Z1039.B67 .W663 2020</t>
  </si>
  <si>
    <t>https://ebookcentral.proquest.com/lib/cam/detail.action?docID=6028619</t>
  </si>
  <si>
    <t>How Shanghai Does It : Insights and Lessons from the Highest-Ranking Education System in the World</t>
  </si>
  <si>
    <t>World Bank Publications</t>
  </si>
  <si>
    <t>LA1134.S53 -- L53 2016eb</t>
  </si>
  <si>
    <t>https://ebookcentral.proquest.com/lib/cam/detail.action?docID=4504006</t>
  </si>
  <si>
    <t>Whiteness, Class and the Legacies of Empire : On Home Ground</t>
  </si>
  <si>
    <t>305.809/041</t>
  </si>
  <si>
    <t>https://ebookcentral.proquest.com/lib/cam/detail.action?docID=868363</t>
  </si>
  <si>
    <t>Lou Harrison</t>
  </si>
  <si>
    <t>780/.92 B</t>
  </si>
  <si>
    <t>ML410</t>
  </si>
  <si>
    <t>https://ebookcentral.proquest.com/lib/cam/detail.action?docID=3413953</t>
  </si>
  <si>
    <t>Colonial Loyalties : Celebrating the Spanish Monarchy in Eighteenth-Century Lima</t>
  </si>
  <si>
    <t>PQ8520.17.A4 .B373 2019</t>
  </si>
  <si>
    <t>https://ebookcentral.proquest.com/lib/cam/detail.action?docID=5917640</t>
  </si>
  <si>
    <t>Remaking Holocaust Memory : Documentary Cinema by Third-Generation Survivors in Israel</t>
  </si>
  <si>
    <t>PN1995.9.D6 .S745 2019</t>
  </si>
  <si>
    <t>https://ebookcentral.proquest.com/lib/cam/detail.action?docID=5830778</t>
  </si>
  <si>
    <t>Experimental Encounters in Music and Beyond</t>
  </si>
  <si>
    <t>ML3845 .E974 2017</t>
  </si>
  <si>
    <t>https://ebookcentral.proquest.com/lib/cam/detail.action?docID=5314813</t>
  </si>
  <si>
    <t>A Description of Millenium Hall</t>
  </si>
  <si>
    <t>Broadview Press</t>
  </si>
  <si>
    <t>823/.6</t>
  </si>
  <si>
    <t>PR3671.S33 -- D4 1995eb</t>
  </si>
  <si>
    <t>https://ebookcentral.proquest.com/lib/cam/detail.action?docID=3248162</t>
  </si>
  <si>
    <t>Police : Streetcorner Politicians</t>
  </si>
  <si>
    <t>HV7921 .M8</t>
  </si>
  <si>
    <t>https://ebookcentral.proquest.com/lib/cam/detail.action?docID=3038669</t>
  </si>
  <si>
    <t>Shakesplish : How We Read Shakespeare's Language</t>
  </si>
  <si>
    <t>PE1073 .B536 2018</t>
  </si>
  <si>
    <t>https://ebookcentral.proquest.com/lib/cam/detail.action?docID=5527513</t>
  </si>
  <si>
    <t>Future Asian Space : Projecting the Urban Space of New East Asia</t>
  </si>
  <si>
    <t>NUS Press</t>
  </si>
  <si>
    <t>HT371 .F888 2012</t>
  </si>
  <si>
    <t>https://ebookcentral.proquest.com/lib/cam/detail.action?docID=5718187</t>
  </si>
  <si>
    <t>Over a Barrel : The Rise and Fall of New York's Taylor Wine Company</t>
  </si>
  <si>
    <t>338.7/6632009747</t>
  </si>
  <si>
    <t>HD9379.T39 -- .P455 2015eb</t>
  </si>
  <si>
    <t>https://ebookcentral.proquest.com/lib/cam/detail.action?docID=4510708</t>
  </si>
  <si>
    <t>Slumbering Masses : Sleep, Medicine, and Modern American Life</t>
  </si>
  <si>
    <t>Health; Social Science</t>
  </si>
  <si>
    <t>HQ2044.U6 -- W65 2012eb</t>
  </si>
  <si>
    <t>https://ebookcentral.proquest.com/lib/cam/detail.action?docID=1047452</t>
  </si>
  <si>
    <t>Me and White Supremacy : Combat Racism, Change the World, and Become a Good Ancestor</t>
  </si>
  <si>
    <t>Sourcebooks, Inc.</t>
  </si>
  <si>
    <t>Psychology; Social Science</t>
  </si>
  <si>
    <t>https://ebookcentral.proquest.com/lib/cam/detail.action?docID=5979726</t>
  </si>
  <si>
    <t>Those Who Know Don't Say : The Nation of Islam, the Black Freedom Movement, and the Carceral State</t>
  </si>
  <si>
    <t>BP221 .F453 2020</t>
  </si>
  <si>
    <t>https://ebookcentral.proquest.com/lib/cam/detail.action?docID=5982831</t>
  </si>
  <si>
    <t>Sex Testing : Gender Policing in Women's Sports</t>
  </si>
  <si>
    <t>Social Science; Sport &amp;amp; Recreation; Health</t>
  </si>
  <si>
    <t>362.29/088796</t>
  </si>
  <si>
    <t>GV709</t>
  </si>
  <si>
    <t>https://ebookcentral.proquest.com/lib/cam/detail.action?docID=4443552</t>
  </si>
  <si>
    <t>Motor City Movie Culture, 1916-1925</t>
  </si>
  <si>
    <t>Fine Arts; History</t>
  </si>
  <si>
    <t>https://ebookcentral.proquest.com/lib/cam/detail.action?docID=6128682</t>
  </si>
  <si>
    <t>Palestinian Women's Activism : Nationalism, Secularism, Islamism</t>
  </si>
  <si>
    <t>305.42095694/2</t>
  </si>
  <si>
    <t>HQ1236.5.W45 .J33 2018</t>
  </si>
  <si>
    <t>https://ebookcentral.proquest.com/lib/cam/detail.action?docID=5622442</t>
  </si>
  <si>
    <t>Until it is Fulfilled : Lukan Eschatology According to Luke 22 and Acts 20</t>
  </si>
  <si>
    <t>Mohr Siebeck</t>
  </si>
  <si>
    <t>Religion; Philosophy</t>
  </si>
  <si>
    <t>https://ebookcentral.proquest.com/lib/cam/detail.action?docID=6110947</t>
  </si>
  <si>
    <t>Geopolitics, Culture, and the Scientific Imaginary in Latin America</t>
  </si>
  <si>
    <t>Science: General; Social Science; History</t>
  </si>
  <si>
    <t>https://ebookcentral.proquest.com/lib/cam/detail.action?docID=6138181</t>
  </si>
  <si>
    <t>Human Rights and Oppressed Peoples : Collected Essays and Speeches</t>
  </si>
  <si>
    <t>801/.95092</t>
  </si>
  <si>
    <t>PT8125</t>
  </si>
  <si>
    <t>https://ebookcentral.proquest.com/lib/cam/detail.action?docID=6031921</t>
  </si>
  <si>
    <t>Women, Art, and Literature in the Iranian Diaspora</t>
  </si>
  <si>
    <t>NX574.A1 .E273 2019</t>
  </si>
  <si>
    <t>https://ebookcentral.proquest.com/lib/cam/detail.action?docID=5830782</t>
  </si>
  <si>
    <t>With the Saraguros : The Blended Life in a Transnational World</t>
  </si>
  <si>
    <t>F3722.1.S37 -- S97 2014eb</t>
  </si>
  <si>
    <t>https://ebookcentral.proquest.com/lib/cam/detail.action?docID=3571810</t>
  </si>
  <si>
    <t>Armageddon Insurance : Civil Defense in the United States and Soviet Union, 1945-1991</t>
  </si>
  <si>
    <t>Military Science; Social Science</t>
  </si>
  <si>
    <t>363.350947/09047</t>
  </si>
  <si>
    <t>UA926 .G457 2019</t>
  </si>
  <si>
    <t>https://ebookcentral.proquest.com/lib/cam/detail.action?docID=5570663</t>
  </si>
  <si>
    <t>The Kindertransport : Contesting Memory</t>
  </si>
  <si>
    <t>940.53/1835083</t>
  </si>
  <si>
    <t>D804.6 .C735 2019</t>
  </si>
  <si>
    <t>https://ebookcentral.proquest.com/lib/cam/detail.action?docID=5789193</t>
  </si>
  <si>
    <t>The Market for Mesoamerica : Reflections on the Sale of Pre-Columbian Antiquities</t>
  </si>
  <si>
    <t>F1434.2.A7 M37</t>
  </si>
  <si>
    <t>https://ebookcentral.proquest.com/lib/cam/detail.action?docID=5846457</t>
  </si>
  <si>
    <t>Charlemagne's Courtier : The Complete Einhard</t>
  </si>
  <si>
    <t>University of Toronto Press</t>
  </si>
  <si>
    <t>DC73.2.C437 1998</t>
  </si>
  <si>
    <t>https://ebookcentral.proquest.com/lib/cam/detail.action?docID=4931145</t>
  </si>
  <si>
    <t>The Hijacked War : The Story of Chinese POWs in the Korean War</t>
  </si>
  <si>
    <t>DS921.2 .C436 2020</t>
  </si>
  <si>
    <t>https://ebookcentral.proquest.com/lib/cam/detail.action?docID=5969471</t>
  </si>
  <si>
    <t>Enlightened Immunity : Mexico's Experiments with Disease Prevention in the Age of Reason</t>
  </si>
  <si>
    <t>RA451 .R365 2018</t>
  </si>
  <si>
    <t>https://ebookcentral.proquest.com/lib/cam/detail.action?docID=5447641</t>
  </si>
  <si>
    <t>Axis of Hope : Iranian Women's Rights Activism Across Borders</t>
  </si>
  <si>
    <t>University of Washington Press</t>
  </si>
  <si>
    <t>HQ1735.2.A62 .S264 2019</t>
  </si>
  <si>
    <t>https://ebookcentral.proquest.com/lib/cam/detail.action?docID=5979635</t>
  </si>
  <si>
    <t>Istwa Across the Water : Haitian History, Memory, and the Cultural Imagination​</t>
  </si>
  <si>
    <t>F1921.P747 2017</t>
  </si>
  <si>
    <t>https://ebookcentral.proquest.com/lib/cam/detail.action?docID=4816482</t>
  </si>
  <si>
    <t>I Would Lie to You If I Could : Interviews with Ten American Poets</t>
  </si>
  <si>
    <t>811/.609</t>
  </si>
  <si>
    <t>PS326</t>
  </si>
  <si>
    <t>https://ebookcentral.proquest.com/lib/cam/detail.action?docID=5452390</t>
  </si>
  <si>
    <t>In the Frame : Women's Ekphrastic Poetry from Marianne Moore to Susan Wheeler</t>
  </si>
  <si>
    <t>University of Delaware Press</t>
  </si>
  <si>
    <t>811/.54099287</t>
  </si>
  <si>
    <t>PS151 -- .I52 2009eb</t>
  </si>
  <si>
    <t>https://ebookcentral.proquest.com/lib/cam/detail.action?docID=3116024</t>
  </si>
  <si>
    <t>Women Have Always Worked : A Concise History</t>
  </si>
  <si>
    <t>HD6095</t>
  </si>
  <si>
    <t>https://ebookcentral.proquest.com/lib/cam/detail.action?docID=5589442</t>
  </si>
  <si>
    <t>Boy Soldiers of the American Revolution</t>
  </si>
  <si>
    <t>Military Science; History</t>
  </si>
  <si>
    <t>973.3/4083</t>
  </si>
  <si>
    <t>UB418.C45C69 2016</t>
  </si>
  <si>
    <t>https://ebookcentral.proquest.com/lib/cam/detail.action?docID=4443595</t>
  </si>
  <si>
    <t>Dogmatic Ecclesiology : Volume 1</t>
  </si>
  <si>
    <t>BV600.3 .G74 2019</t>
  </si>
  <si>
    <t>https://ebookcentral.proquest.com/lib/cam/detail.action?docID=5928851</t>
  </si>
  <si>
    <t>The Jewish Economic Elite : Making Modern Europe</t>
  </si>
  <si>
    <t>381.089/92404</t>
  </si>
  <si>
    <t>HF3495 .A978 2018</t>
  </si>
  <si>
    <t>https://ebookcentral.proquest.com/lib/cam/detail.action?docID=5327248</t>
  </si>
  <si>
    <t>Machinal (NHB Modern Plays)</t>
  </si>
  <si>
    <t>Nick Hern Books</t>
  </si>
  <si>
    <t>Literature; Fiction</t>
  </si>
  <si>
    <t>PS3529.N5  .T743 2018</t>
  </si>
  <si>
    <t>https://ebookcentral.proquest.com/lib/cam/detail.action?docID=5523771</t>
  </si>
  <si>
    <t>Jonah : A Handbook on the Hebrew Text</t>
  </si>
  <si>
    <t>Baylor University Press</t>
  </si>
  <si>
    <t>224/.92044</t>
  </si>
  <si>
    <t>BS1605.53.T83 2006</t>
  </si>
  <si>
    <t>https://ebookcentral.proquest.com/lib/cam/detail.action?docID=286957</t>
  </si>
  <si>
    <t>Exploring the Archive : Historical Photography from Latin America. The Collection of the Ethnologisches Museum Berlin</t>
  </si>
  <si>
    <t>Bohlau Verlag Gmbh &amp; Cie</t>
  </si>
  <si>
    <t>GN564.L29.E975 2015</t>
  </si>
  <si>
    <t>https://ebookcentral.proquest.com/lib/cam/detail.action?docID=4402250</t>
  </si>
  <si>
    <t>Emperor Qianlong's Hidden Treasures : Reconsidering the Collection of the Qing Imperial Household</t>
  </si>
  <si>
    <t>https://ebookcentral.proquest.com/lib/cam/detail.action?docID=6118454</t>
  </si>
  <si>
    <t>Grafts</t>
  </si>
  <si>
    <t>Philosophy; Science; Science: Botany</t>
  </si>
  <si>
    <t>B105.P535M37 2016</t>
  </si>
  <si>
    <t>https://ebookcentral.proquest.com/lib/cam/detail.action?docID=4734157</t>
  </si>
  <si>
    <t>The Global Novel : Writing the World in the 21st Century</t>
  </si>
  <si>
    <t>Columbia Global Reports</t>
  </si>
  <si>
    <t>809/.03</t>
  </si>
  <si>
    <t>PN781 .K577 2016</t>
  </si>
  <si>
    <t>https://ebookcentral.proquest.com/lib/cam/detail.action?docID=4731080</t>
  </si>
  <si>
    <t>Regionalism Without Regions : Reconceptualizing Ukraine's Heterogeneity</t>
  </si>
  <si>
    <t>JC319 .R445 2019</t>
  </si>
  <si>
    <t>https://ebookcentral.proquest.com/lib/cam/detail.action?docID=5982501</t>
  </si>
  <si>
    <t>African Dress : Fashion, Agency, Performance</t>
  </si>
  <si>
    <t>GT1580.A475 2013eb</t>
  </si>
  <si>
    <t>https://ebookcentral.proquest.com/lib/cam/detail.action?docID=1334386</t>
  </si>
  <si>
    <t>Science, Religion, and the Protestant Tradition : Retracing the Origins of Conflict</t>
  </si>
  <si>
    <t>BL245 .U548 2019</t>
  </si>
  <si>
    <t>https://ebookcentral.proquest.com/lib/cam/detail.action?docID=5916511</t>
  </si>
  <si>
    <t>Florida's Lost Galleon : The Emanuel Point Shipwreck</t>
  </si>
  <si>
    <t>CC77.U5 .F567 2018</t>
  </si>
  <si>
    <t>https://ebookcentral.proquest.com/lib/cam/detail.action?docID=5306726</t>
  </si>
  <si>
    <t>Habitus? : The Social Dimension of Technology and Transformation</t>
  </si>
  <si>
    <t>CC72.4 .H335 2019</t>
  </si>
  <si>
    <t>https://ebookcentral.proquest.com/lib/cam/detail.action?docID=5900394</t>
  </si>
  <si>
    <t>Perspectives on Lived Religion : Practices - Transmission - Landscape</t>
  </si>
  <si>
    <t>BL2441.2 .P477 2019</t>
  </si>
  <si>
    <t>https://ebookcentral.proquest.com/lib/cam/detail.action?docID=5900397</t>
  </si>
  <si>
    <t>Transnational Popular Psychology and the Global Self-Help Industry : The Politics of Contemporary Social Change</t>
  </si>
  <si>
    <t>158/.9</t>
  </si>
  <si>
    <t>BF1-990</t>
  </si>
  <si>
    <t>https://ebookcentral.proquest.com/lib/cam/detail.action?docID=4719913</t>
  </si>
  <si>
    <t>AFRICAN LUXURY : Aesthetics and Politics</t>
  </si>
  <si>
    <t>Intellect Books</t>
  </si>
  <si>
    <t>BH221.A353 .A375 2019</t>
  </si>
  <si>
    <t>https://ebookcentral.proquest.com/lib/cam/detail.action?docID=5888171</t>
  </si>
  <si>
    <t>Historical Archaeologies of the Caribbean : Contextualizing Sites Through Colonialism, Capitalism, and Globalism</t>
  </si>
  <si>
    <t>972.9/01</t>
  </si>
  <si>
    <t>F2175 .H565 2020</t>
  </si>
  <si>
    <t>https://ebookcentral.proquest.com/lib/cam/detail.action?docID=5968181</t>
  </si>
  <si>
    <t>On the Word of a Jew : Religion, Reliability, and the Dynamics of Trust</t>
  </si>
  <si>
    <t>305.892/4</t>
  </si>
  <si>
    <t>BM535 .O48 2019</t>
  </si>
  <si>
    <t>https://ebookcentral.proquest.com/lib/cam/detail.action?docID=5652167</t>
  </si>
  <si>
    <t>Figures of Time : Disjunctions in Modernist Poetry</t>
  </si>
  <si>
    <t>PN1271 .B46 2018</t>
  </si>
  <si>
    <t>https://ebookcentral.proquest.com/lib/cam/detail.action?docID=5264878</t>
  </si>
  <si>
    <t>Die Christen als Bedrohung? : Text, Kontext und Wirkung von Porphyrios' "Contra Christianos"</t>
  </si>
  <si>
    <t>Franz Steiner Verlag</t>
  </si>
  <si>
    <t>BL2775.2 .C475 2017</t>
  </si>
  <si>
    <t>https://ebookcentral.proquest.com/lib/cam/detail.action?docID=5806173</t>
  </si>
  <si>
    <t>Patterns in Circulation : Cloth, Gender, and Materiality in West Africa</t>
  </si>
  <si>
    <t>338.4/767702</t>
  </si>
  <si>
    <t>HD9868</t>
  </si>
  <si>
    <t>https://ebookcentral.proquest.com/lib/cam/detail.action?docID=6036899</t>
  </si>
  <si>
    <t>Manufacturing Consent : Changes in the Labor Process Under Monopoly Capitalism</t>
  </si>
  <si>
    <t>Business/Management; Social Science</t>
  </si>
  <si>
    <t>301.5/5</t>
  </si>
  <si>
    <t>HD6955</t>
  </si>
  <si>
    <t>https://ebookcentral.proquest.com/lib/cam/detail.action?docID=3038680</t>
  </si>
  <si>
    <t>Brief Encounters : Notes from a Philosopher's Diary</t>
  </si>
  <si>
    <t>Religion; History</t>
  </si>
  <si>
    <t>https://ebookcentral.proquest.com/lib/cam/detail.action?docID=5543233</t>
  </si>
  <si>
    <t>Time Slips : Queer Temporalities, Contemporary Performance, and the Hole of History</t>
  </si>
  <si>
    <t>Literature; Social Science; Fine Arts</t>
  </si>
  <si>
    <t>PN1590</t>
  </si>
  <si>
    <t>https://ebookcentral.proquest.com/lib/cam/detail.action?docID=4883575</t>
  </si>
  <si>
    <t>Mapping the Middle East</t>
  </si>
  <si>
    <t>Geography/Travel; Science: Astronomy; Science</t>
  </si>
  <si>
    <t>G7420 1946 .A587 2018</t>
  </si>
  <si>
    <t>https://ebookcentral.proquest.com/lib/cam/detail.action?docID=5399266</t>
  </si>
  <si>
    <t>Lessons Unlearned : The U. S. Army's Role in Creating the Forever Wars in Afghanistan and Iraq</t>
  </si>
  <si>
    <t>U240</t>
  </si>
  <si>
    <t>https://ebookcentral.proquest.com/lib/cam/detail.action?docID=6031954</t>
  </si>
  <si>
    <t>Globalizing the Caribbean : Political Economy, Social Change, and the Transnational Capitalist Class</t>
  </si>
  <si>
    <t>HD2820</t>
  </si>
  <si>
    <t>https://ebookcentral.proquest.com/lib/cam/detail.action?docID=5788607</t>
  </si>
  <si>
    <t>Dependent Rational Animals : Why Human Beings Need the Virtues</t>
  </si>
  <si>
    <t>Open Court</t>
  </si>
  <si>
    <t>BJ1012 .M326 1999</t>
  </si>
  <si>
    <t>https://ebookcentral.proquest.com/lib/cam/detail.action?docID=905752</t>
  </si>
  <si>
    <t>Veils, Turbans, and Islamic Reform in Northern Nigeria</t>
  </si>
  <si>
    <t>GT1589.N6 .R466 2018</t>
  </si>
  <si>
    <t>https://ebookcentral.proquest.com/lib/cam/detail.action?docID=5559260</t>
  </si>
  <si>
    <t>From Here to Equality : Reparations for Black Americans in the Twenty-First Century</t>
  </si>
  <si>
    <t>History; Social Science; Economics</t>
  </si>
  <si>
    <t>https://ebookcentral.proquest.com/lib/cam/detail.action?docID=6126519</t>
  </si>
  <si>
    <t>The Voiding of Being : The Doing and Undoing of Metaphysics in Modernity</t>
  </si>
  <si>
    <t>BD111 .D444 2020</t>
  </si>
  <si>
    <t>https://ebookcentral.proquest.com/lib/cam/detail.action?docID=6031665</t>
  </si>
  <si>
    <t>The Unity of the Nations : A Vision of the Church Fathers</t>
  </si>
  <si>
    <t>BR115</t>
  </si>
  <si>
    <t>https://ebookcentral.proquest.com/lib/cam/detail.action?docID=3135194</t>
  </si>
  <si>
    <t>Francois Mauriac on Race, War, Politics and Religion</t>
  </si>
  <si>
    <t>PQ2625</t>
  </si>
  <si>
    <t>https://ebookcentral.proquest.com/lib/cam/detail.action?docID=4412728</t>
  </si>
  <si>
    <t>The Quotable Augustine</t>
  </si>
  <si>
    <t>BR65</t>
  </si>
  <si>
    <t>https://ebookcentral.proquest.com/lib/cam/detail.action?docID=4751198</t>
  </si>
  <si>
    <t>The Conspiracy of Capital : Law, Violence, and American Popular Radicalism in the Age of Monopoly</t>
  </si>
  <si>
    <t>HN90.R3 .C644 2019</t>
  </si>
  <si>
    <t>https://ebookcentral.proquest.com/lib/cam/detail.action?docID=5894440</t>
  </si>
  <si>
    <t>Nuclear Freeze in a Cold War : The Reagan Administration, Cultural Activism, and the End of the Arms Race</t>
  </si>
  <si>
    <t>Political Science; Military Science</t>
  </si>
  <si>
    <t>U264 .K563 2017</t>
  </si>
  <si>
    <t>https://ebookcentral.proquest.com/lib/cam/detail.action?docID=5447894</t>
  </si>
  <si>
    <t>The History of British Women's Writing, 1750-1830 : Volume Five</t>
  </si>
  <si>
    <t>Social Science; Literature</t>
  </si>
  <si>
    <t>https://ebookcentral.proquest.com/lib/cam/detail.action?docID=652309</t>
  </si>
  <si>
    <t>Poll Power : The Voter Education Project and the Movement for the Ballot in the American South</t>
  </si>
  <si>
    <t>JK2160 .F385 2019</t>
  </si>
  <si>
    <t>https://ebookcentral.proquest.com/lib/cam/detail.action?docID=5749972</t>
  </si>
  <si>
    <t>Shimmering Mirrors : Reality and Appearance in Contemplative Metaphysics East and West</t>
  </si>
  <si>
    <t>BL80.3 .L383 2017</t>
  </si>
  <si>
    <t>https://ebookcentral.proquest.com/lib/cam/detail.action?docID=5115796</t>
  </si>
  <si>
    <t>Ronald Reagan : An Intellectual Biography</t>
  </si>
  <si>
    <t>Potomac Books Inc.</t>
  </si>
  <si>
    <t>E877.2 .B97 2018</t>
  </si>
  <si>
    <t>https://ebookcentral.proquest.com/lib/cam/detail.action?docID=5518163</t>
  </si>
  <si>
    <t>In Praise of Nonsense : Kant and Bluebeard</t>
  </si>
  <si>
    <t>809/.9145</t>
  </si>
  <si>
    <t>PN603 .M466 1999</t>
  </si>
  <si>
    <t>https://ebookcentral.proquest.com/lib/cam/detail.action?docID=5412759</t>
  </si>
  <si>
    <t>Nuclear Weapons and American Grand Strategy</t>
  </si>
  <si>
    <t>https://ebookcentral.proquest.com/lib/cam/detail.action?docID=5812710</t>
  </si>
  <si>
    <t>Social Theory Now</t>
  </si>
  <si>
    <t>H61</t>
  </si>
  <si>
    <t>https://ebookcentral.proquest.com/lib/cam/detail.action?docID=6036909</t>
  </si>
  <si>
    <t>A People's Atlas of Detroit</t>
  </si>
  <si>
    <t>HN80.D6 .P467 2020</t>
  </si>
  <si>
    <t>https://ebookcentral.proquest.com/lib/cam/detail.action?docID=6023907</t>
  </si>
  <si>
    <t>The Many Facades of Edith Sitwell</t>
  </si>
  <si>
    <t>PR6037.I8.M369 2017eb</t>
  </si>
  <si>
    <t>https://ebookcentral.proquest.com/lib/cam/detail.action?docID=4857056</t>
  </si>
  <si>
    <t>The Doubled Life of Dietrich Bonhoeffer : Women, Sexuality, and Nazi Germany</t>
  </si>
  <si>
    <t>Wipf &amp; Stock Publishers</t>
  </si>
  <si>
    <t>BX4827.B57 -- .R496 2016eb</t>
  </si>
  <si>
    <t>https://ebookcentral.proquest.com/lib/cam/detail.action?docID=4534506</t>
  </si>
  <si>
    <t>Early Cinema in Asia</t>
  </si>
  <si>
    <t>PN1993.5.A75 .E22 2017</t>
  </si>
  <si>
    <t>https://ebookcentral.proquest.com/lib/cam/detail.action?docID=5452141</t>
  </si>
  <si>
    <t>The Garb of Being : Embodiment and the Pursuit of Holiness in Late Ancient Christianity</t>
  </si>
  <si>
    <t>BT741.3 .G373 2020</t>
  </si>
  <si>
    <t>https://ebookcentral.proquest.com/lib/cam/detail.action?docID=5969730</t>
  </si>
  <si>
    <t>Straying from the Straight Path : How Senses of Failure Invigorate Lived Religion</t>
  </si>
  <si>
    <t>202/.2</t>
  </si>
  <si>
    <t>BL629.5.F33 S77 2017</t>
  </si>
  <si>
    <t>https://ebookcentral.proquest.com/lib/cam/detail.action?docID=4901393</t>
  </si>
  <si>
    <t>Shaped by the State : Toward a New Political History of the Twentieth Century</t>
  </si>
  <si>
    <t>E743</t>
  </si>
  <si>
    <t>https://ebookcentral.proquest.com/lib/cam/detail.action?docID=6036908</t>
  </si>
  <si>
    <t>Photography and Its Shadow</t>
  </si>
  <si>
    <t>Fine Arts; Philosophy</t>
  </si>
  <si>
    <t>https://ebookcentral.proquest.com/lib/cam/detail.action?docID=5985002</t>
  </si>
  <si>
    <t>The Ernest Becker Reader</t>
  </si>
  <si>
    <t>Philosophy; Psychology</t>
  </si>
  <si>
    <t>BF109.B43 .E764 2005</t>
  </si>
  <si>
    <t>https://ebookcentral.proquest.com/lib/cam/detail.action?docID=5150773</t>
  </si>
  <si>
    <t>Southern Religion in the World : Three Stories</t>
  </si>
  <si>
    <t>277.5/08</t>
  </si>
  <si>
    <t>BR535 .H378 2019</t>
  </si>
  <si>
    <t>https://ebookcentral.proquest.com/lib/cam/detail.action?docID=5892650</t>
  </si>
  <si>
    <t>The Executioner's Journal : Meister Frantz Schmidt of the Imperial City of Nuremberg</t>
  </si>
  <si>
    <t>HV8551 -- .E943 2016eb</t>
  </si>
  <si>
    <t>https://ebookcentral.proquest.com/lib/cam/detail.action?docID=4573828</t>
  </si>
  <si>
    <t>French Cinema--A Critical Filmography : Volume 2, 1940-1958</t>
  </si>
  <si>
    <t>Fine Arts; General Works/Reference</t>
  </si>
  <si>
    <t>016.79143/750944</t>
  </si>
  <si>
    <t>PN1995.5.F7.C757 2015</t>
  </si>
  <si>
    <t>https://ebookcentral.proquest.com/lib/cam/detail.action?docID=2089418</t>
  </si>
  <si>
    <t>South Sudan: Elites, Ethnicity, Endless Wars and the Stunted State</t>
  </si>
  <si>
    <t>Mkuki na Nyoka Publishers</t>
  </si>
  <si>
    <t>DT159.944 .N933 2019</t>
  </si>
  <si>
    <t>https://ebookcentral.proquest.com/lib/cam/detail.action?docID=5763295</t>
  </si>
  <si>
    <t>Where No Black Woman Has Gone Before : Subversive Portrayals in Speculative Film and TV</t>
  </si>
  <si>
    <t>PN1995.9.N4 .M344 2018</t>
  </si>
  <si>
    <t>https://ebookcentral.proquest.com/lib/cam/detail.action?docID=5181671</t>
  </si>
  <si>
    <t>Russia and the New World Disorder</t>
  </si>
  <si>
    <t>JZ1251 .L384 2015</t>
  </si>
  <si>
    <t>https://ebookcentral.proquest.com/lib/cam/detail.action?docID=1793976</t>
  </si>
  <si>
    <t>Feminist Afterlives : Assemblage Memory in Activist Times</t>
  </si>
  <si>
    <t>HM621-HM656</t>
  </si>
  <si>
    <t>https://ebookcentral.proquest.com/lib/cam/detail.action?docID=5601979</t>
  </si>
  <si>
    <t>Clinical Ethics at the Crossroads of Genetic and Reproductive Technologies</t>
  </si>
  <si>
    <t>Elsevier Science &amp; Technology</t>
  </si>
  <si>
    <t>Social Science; Health; Philosophy</t>
  </si>
  <si>
    <t>RA418.5.M4 .C556 2018</t>
  </si>
  <si>
    <t>https://ebookcentral.proquest.com/lib/cam/detail.action?docID=5490778</t>
  </si>
  <si>
    <t>The Russian Understanding of War : Blurring the Lines Between War and Peace</t>
  </si>
  <si>
    <t>UA770 .J667 2019</t>
  </si>
  <si>
    <t>https://ebookcentral.proquest.com/lib/cam/detail.action?docID=5965277</t>
  </si>
  <si>
    <t>Autism and Gender : From Refrigerator Mothers to Computer Geeks</t>
  </si>
  <si>
    <t>RC553</t>
  </si>
  <si>
    <t>https://ebookcentral.proquest.com/lib/cam/detail.action?docID=3414373</t>
  </si>
  <si>
    <t>Energy Security in Europe : Divergent Perceptions and Policy Challenges</t>
  </si>
  <si>
    <t>Economics; Social Science; Environmental Studies</t>
  </si>
  <si>
    <t>https://ebookcentral.proquest.com/lib/cam/detail.action?docID=5106091</t>
  </si>
  <si>
    <t>The Request and the Gift in Religious and Humanitarian Endeavors</t>
  </si>
  <si>
    <t>https://ebookcentral.proquest.com/lib/cam/detail.action?docID=4914144</t>
  </si>
  <si>
    <t>Conflict Dynamics : Civil Wars, Armed Actors, and Their Tactics</t>
  </si>
  <si>
    <t>JC328.5.C67 2017</t>
  </si>
  <si>
    <t>https://ebookcentral.proquest.com/lib/cam/detail.action?docID=4865006</t>
  </si>
  <si>
    <t>The Secret Life of the Cheating Wife : Power, Pragmatism, and Pleasure in Women’s Infidelity</t>
  </si>
  <si>
    <t>HQ806.W355 2018</t>
  </si>
  <si>
    <t>https://ebookcentral.proquest.com/lib/cam/detail.action?docID=5101859</t>
  </si>
  <si>
    <t>A Hindu Theology of Liberation : Not-Two Is Not One</t>
  </si>
  <si>
    <t>294.5/17</t>
  </si>
  <si>
    <t>B132.A3 -- .R362 2015eb</t>
  </si>
  <si>
    <t>https://ebookcentral.proquest.com/lib/cam/detail.action?docID=3408958</t>
  </si>
  <si>
    <t>Talking Back, Talking Black : Truths About America's Lingua Franca</t>
  </si>
  <si>
    <t>Bellevue Literary Press</t>
  </si>
  <si>
    <t>PM7802.M394 2017</t>
  </si>
  <si>
    <t>https://ebookcentral.proquest.com/lib/cam/detail.action?docID=4749088</t>
  </si>
  <si>
    <t>Nordic Social Pedagogical Approach to Early Years</t>
  </si>
  <si>
    <t>https://ebookcentral.proquest.com/lib/cam/detail.action?docID=4722666</t>
  </si>
  <si>
    <t>The First Book of Jewish Jokes : The Collection of L. M. Büschenthal</t>
  </si>
  <si>
    <t>818/.602</t>
  </si>
  <si>
    <t>PN6149.J4 .F577 2018</t>
  </si>
  <si>
    <t>https://ebookcentral.proquest.com/lib/cam/detail.action?docID=5484320</t>
  </si>
  <si>
    <t>Historicizing Post-Discourses : Postfeminism and Postracialism in United States Culture</t>
  </si>
  <si>
    <t>E184.A1.K466 2017</t>
  </si>
  <si>
    <t>https://ebookcentral.proquest.com/lib/cam/detail.action?docID=4800358</t>
  </si>
  <si>
    <t>Hermann Cohen and the Crisis of Liberalism : The Enchantment of the Public Sphere</t>
  </si>
  <si>
    <t>B3216.C74 .N346 2019</t>
  </si>
  <si>
    <t>https://ebookcentral.proquest.com/lib/cam/detail.action?docID=5744483</t>
  </si>
  <si>
    <t>Hybridity, Identity, and Monstrosity in Medieval Britain : On Difficult Middles</t>
  </si>
  <si>
    <t>https://ebookcentral.proquest.com/lib/cam/detail.action?docID=4716658</t>
  </si>
  <si>
    <t>Capital and Corporal Punishment in Anglo-Saxon England</t>
  </si>
  <si>
    <t>Boydell &amp; Brewer, Limited</t>
  </si>
  <si>
    <t>HV8699.G7 -- .C375 2014eb</t>
  </si>
  <si>
    <t>https://ebookcentral.proquest.com/lib/cam/detail.action?docID=1756102</t>
  </si>
  <si>
    <t>Unsettling Colonialism : Gender and Race in the Nineteenth-Century Global Hispanic World</t>
  </si>
  <si>
    <t>860.9/005</t>
  </si>
  <si>
    <t>PQ6072 .U574 2019</t>
  </si>
  <si>
    <t>https://ebookcentral.proquest.com/lib/cam/detail.action?docID=5904696</t>
  </si>
  <si>
    <t>Reaching for the Sky: Empowering Girls Through Education</t>
  </si>
  <si>
    <t>LC2322 .S246 2017</t>
  </si>
  <si>
    <t>https://ebookcentral.proquest.com/lib/cam/detail.action?docID=5179955</t>
  </si>
  <si>
    <t>Engines of Redemption : Railroads and the Reconstruction of Capitalism in the New South</t>
  </si>
  <si>
    <t>HE2761 .H844 2019</t>
  </si>
  <si>
    <t>https://ebookcentral.proquest.com/lib/cam/detail.action?docID=5942801</t>
  </si>
  <si>
    <t>Many Faces of Mulian : The Precious Scrolls of Late Imperial China</t>
  </si>
  <si>
    <t>895.12/4</t>
  </si>
  <si>
    <t>MLI</t>
  </si>
  <si>
    <t>https://ebookcentral.proquest.com/lib/cam/detail.action?docID=5548415</t>
  </si>
  <si>
    <t>Autofiction in English</t>
  </si>
  <si>
    <t>https://ebookcentral.proquest.com/lib/cam/detail.action?docID=5413863</t>
  </si>
  <si>
    <t>Fyodor Dostoevsky, Walker Percy, and the Age of Suicide</t>
  </si>
  <si>
    <t>PN56</t>
  </si>
  <si>
    <t>https://ebookcentral.proquest.com/lib/cam/detail.action?docID=5718786</t>
  </si>
  <si>
    <t>Indigenous Persistence in the Colonized Americas : Material and Documentary Perspectives on Entanglement</t>
  </si>
  <si>
    <t>E59.F53 .I535 2019</t>
  </si>
  <si>
    <t>https://ebookcentral.proquest.com/lib/cam/detail.action?docID=5745460</t>
  </si>
  <si>
    <t>Raving at Usurers : Anti-Finance and the Ethics of Uncertainty in England, 1690-1750</t>
  </si>
  <si>
    <t>332.8/3094209033</t>
  </si>
  <si>
    <t>HG1623.G7C63 2016</t>
  </si>
  <si>
    <t>https://ebookcentral.proquest.com/lib/cam/detail.action?docID=4397302</t>
  </si>
  <si>
    <t>Remapping the Sinophone : The Cultural Production of Chinese-Language Cinema in Singapore and Malaya Before and During the Cold War</t>
  </si>
  <si>
    <t>951.2/5/033/0922</t>
  </si>
  <si>
    <t>https://ebookcentral.proquest.com/lib/cam/detail.action?docID=6118458</t>
  </si>
  <si>
    <t>The BBC and the Development of Anglophone Caribbean Literature, 1943-1958</t>
  </si>
  <si>
    <t>https://ebookcentral.proquest.com/lib/cam/detail.action?docID=4747275</t>
  </si>
  <si>
    <t>From the Grounds Up : Building an Export Economy in Southern Mexico</t>
  </si>
  <si>
    <t>382/.6097275</t>
  </si>
  <si>
    <t>HD9199.M63 .L878 2019</t>
  </si>
  <si>
    <t>https://ebookcentral.proquest.com/lib/cam/detail.action?docID=5720764</t>
  </si>
  <si>
    <t>Gregory of Nazianzus (Foundations of Theological Exegesis and Christian Spirituality)</t>
  </si>
  <si>
    <t>BR65.G66M38 2016</t>
  </si>
  <si>
    <t>https://ebookcentral.proquest.com/lib/cam/detail.action?docID=5248674</t>
  </si>
  <si>
    <t>Gowanus : Brooklyn's Curious Canal</t>
  </si>
  <si>
    <t>974.7/23</t>
  </si>
  <si>
    <t>F129.B7 A43 2015</t>
  </si>
  <si>
    <t>https://ebookcentral.proquest.com/lib/cam/detail.action?docID=2082212</t>
  </si>
  <si>
    <t>Migrant Anxieties : Italian Cinema in a Transnational Frame</t>
  </si>
  <si>
    <t>PN1995.9.E44 .O443 2019</t>
  </si>
  <si>
    <t>https://ebookcentral.proquest.com/lib/cam/detail.action?docID=5652175</t>
  </si>
  <si>
    <t>From 'LUGAL. GAL' To 'Wanax' : Kingship and Political Organisation in the Late Bronze Age Aegean</t>
  </si>
  <si>
    <t>GN778.22.A35 .F766 2019</t>
  </si>
  <si>
    <t>https://ebookcentral.proquest.com/lib/cam/detail.action?docID=5904529</t>
  </si>
  <si>
    <t>The Firebird : The Elusive Fate of Russian Democracy</t>
  </si>
  <si>
    <t>DK510.766.K69 .K699 2019</t>
  </si>
  <si>
    <t>https://ebookcentral.proquest.com/lib/cam/detail.action?docID=5896139</t>
  </si>
  <si>
    <t>Know the Heretics</t>
  </si>
  <si>
    <t>HarperCollins Christian Publishing</t>
  </si>
  <si>
    <t>BT1315.3 .H653 2014</t>
  </si>
  <si>
    <t>https://ebookcentral.proquest.com/lib/cam/detail.action?docID=5397578</t>
  </si>
  <si>
    <t>Discovering Second Temple Literature : The Scriptures and Stories That Shaped Early Judaism</t>
  </si>
  <si>
    <t>The Jewish Publication Society</t>
  </si>
  <si>
    <t>BM176 .S516 2018</t>
  </si>
  <si>
    <t>https://ebookcentral.proquest.com/lib/cam/detail.action?docID=5520526</t>
  </si>
  <si>
    <t>Wild Music : Sound and Sovereignty in Ukraine</t>
  </si>
  <si>
    <t>ML3497 .S664 2019</t>
  </si>
  <si>
    <t>https://ebookcentral.proquest.com/lib/cam/detail.action?docID=6033302</t>
  </si>
  <si>
    <t>Redefining Science : Scientists, the National Security State, and Nuclear Weapons in Cold War America</t>
  </si>
  <si>
    <t>U264.R83 2016</t>
  </si>
  <si>
    <t>https://ebookcentral.proquest.com/lib/cam/detail.action?docID=5599563</t>
  </si>
  <si>
    <t>Roaming Africa : Migration, Resilience and Social Protection</t>
  </si>
  <si>
    <t>BF698.35.R47 .R636 2019</t>
  </si>
  <si>
    <t>https://ebookcentral.proquest.com/lib/cam/detail.action?docID=5975724</t>
  </si>
  <si>
    <t>The Archaeology of Maritime Landscapes</t>
  </si>
  <si>
    <t>Springer New York</t>
  </si>
  <si>
    <t>https://ebookcentral.proquest.com/lib/cam/detail.action?docID=763628</t>
  </si>
  <si>
    <t>Milton and Catholicism</t>
  </si>
  <si>
    <t>821/.4</t>
  </si>
  <si>
    <t>PR3592.R4.M558 2017</t>
  </si>
  <si>
    <t>https://ebookcentral.proquest.com/lib/cam/detail.action?docID=5097135</t>
  </si>
  <si>
    <t>Multiple Alterities : Views of Others in Textbooks of the Middle East</t>
  </si>
  <si>
    <t>https://ebookcentral.proquest.com/lib/cam/detail.action?docID=5202690</t>
  </si>
  <si>
    <t>Morphogenesis and the Crisis of Normativity</t>
  </si>
  <si>
    <t>https://ebookcentral.proquest.com/lib/cam/detail.action?docID=4532427</t>
  </si>
  <si>
    <t>What the Forest Told Me : Yoruba Hunter, Culture and Narrative Performance</t>
  </si>
  <si>
    <t>NISC (Pty) Limited (National Inquiry Services Centre (Pty) Ltd)</t>
  </si>
  <si>
    <t>DT513 .A343 2019</t>
  </si>
  <si>
    <t>https://ebookcentral.proquest.com/lib/cam/detail.action?docID=5781327</t>
  </si>
  <si>
    <t>Middle Powers and the Rise of China</t>
  </si>
  <si>
    <t>DS779.47 -- .M54 2014eb</t>
  </si>
  <si>
    <t>https://ebookcentral.proquest.com/lib/cam/detail.action?docID=1758720</t>
  </si>
  <si>
    <t>Jewish Biblical Exegesis from Islamic Lands : The Medieval Period</t>
  </si>
  <si>
    <t>BS1186</t>
  </si>
  <si>
    <t>https://ebookcentral.proquest.com/lib/cam/detail.action?docID=5971870</t>
  </si>
  <si>
    <t>Temporarily Yours : Intimacy, Authenticity, and the Commerce of Sex</t>
  </si>
  <si>
    <t>HQ118</t>
  </si>
  <si>
    <t>https://ebookcentral.proquest.com/lib/cam/detail.action?docID=547696</t>
  </si>
  <si>
    <t>The Atom of the Universe : The Life and Work of Georges Lemaitre</t>
  </si>
  <si>
    <t>Copernicus Center Press</t>
  </si>
  <si>
    <t>Science: Astronomy; Science</t>
  </si>
  <si>
    <t>QB981 .L384 2015</t>
  </si>
  <si>
    <t>https://ebookcentral.proquest.com/lib/cam/detail.action?docID=2095569</t>
  </si>
  <si>
    <t>Growing Old with Two Languages : Effects of Bilingualism on Cognitive Aging</t>
  </si>
  <si>
    <t>John Benjamins Publishing Company</t>
  </si>
  <si>
    <t>P120.A35G86 2017</t>
  </si>
  <si>
    <t>https://ebookcentral.proquest.com/lib/cam/detail.action?docID=4983491</t>
  </si>
  <si>
    <t>Writing the Talking Cure : Irvin D. Yalom and the Literature of Psychotherapy</t>
  </si>
  <si>
    <t>616.89/14</t>
  </si>
  <si>
    <t>RC480 .B476 2019</t>
  </si>
  <si>
    <t>https://ebookcentral.proquest.com/lib/cam/detail.action?docID=5764170</t>
  </si>
  <si>
    <t>Human Programming : Brainwashing, Automatons, and American Unfreedom</t>
  </si>
  <si>
    <t>BF633 -- .S455 2016eb</t>
  </si>
  <si>
    <t>https://ebookcentral.proquest.com/lib/cam/detail.action?docID=4525963</t>
  </si>
  <si>
    <t>The Medicine Wheel : Environmental Decision-Making Process of Indigenous Peoples</t>
  </si>
  <si>
    <t>Environmental Studies; Social Science</t>
  </si>
  <si>
    <t>GF50 .M363 2020</t>
  </si>
  <si>
    <t>https://ebookcentral.proquest.com/lib/cam/detail.action?docID=5981494</t>
  </si>
  <si>
    <t>Social Morphogenesis</t>
  </si>
  <si>
    <t>https://ebookcentral.proquest.com/lib/cam/detail.action?docID=1106315</t>
  </si>
  <si>
    <t>Not Even a God Can Save Us Now : Reading Machiavelli after Heidegger</t>
  </si>
  <si>
    <t>JC143.M4</t>
  </si>
  <si>
    <t>https://ebookcentral.proquest.com/lib/cam/detail.action?docID=4863105</t>
  </si>
  <si>
    <t>Russia, BRICS, and the Disruption of Global Order</t>
  </si>
  <si>
    <t>JZ1616.A57 .S259 2019</t>
  </si>
  <si>
    <t>https://ebookcentral.proquest.com/lib/cam/detail.action?docID=5709949</t>
  </si>
  <si>
    <t>Indigenous Methodologies : Characteristics, Conversations, and Contexts</t>
  </si>
  <si>
    <t>305.897/071072</t>
  </si>
  <si>
    <t>E76.7.K683 2009</t>
  </si>
  <si>
    <t>https://ebookcentral.proquest.com/lib/cam/detail.action?docID=4672931</t>
  </si>
  <si>
    <t>American Slave Coast : A History of the Slave-Breeding Industry</t>
  </si>
  <si>
    <t>Chicago Review Press</t>
  </si>
  <si>
    <t>History; Economics</t>
  </si>
  <si>
    <t>331.11/7340973</t>
  </si>
  <si>
    <t>E442.S82 2015</t>
  </si>
  <si>
    <t>https://ebookcentral.proquest.com/lib/cam/detail.action?docID=4306766</t>
  </si>
  <si>
    <t>New Directions in the Ethics of Assisted Suicide and Euthanasia</t>
  </si>
  <si>
    <t>B1-5802</t>
  </si>
  <si>
    <t>https://ebookcentral.proquest.com/lib/cam/detail.action?docID=3568683</t>
  </si>
  <si>
    <t>Folk Literati, Contested Tradition, and Heritage in Contemporary China : Incense Is Kept Burning</t>
  </si>
  <si>
    <t>https://ebookcentral.proquest.com/lib/cam/detail.action?docID=6119373</t>
  </si>
  <si>
    <t>Victor Turner and Contemporary Cultural Performance</t>
  </si>
  <si>
    <t>306.4/8</t>
  </si>
  <si>
    <t>GN345 .V53 2008</t>
  </si>
  <si>
    <t>https://ebookcentral.proquest.com/lib/cam/detail.action?docID=544424</t>
  </si>
  <si>
    <t>World-Building and the Early Modern Imagination</t>
  </si>
  <si>
    <t>https://ebookcentral.proquest.com/lib/cam/detail.action?docID=652612</t>
  </si>
  <si>
    <t>Persuasive Acts : Women's Rhetorics in the Twenty-First Century</t>
  </si>
  <si>
    <t>PS683</t>
  </si>
  <si>
    <t>https://ebookcentral.proquest.com/lib/cam/detail.action?docID=6108922</t>
  </si>
  <si>
    <t>A Refugee from His Race : Albion W. Tourgée and His Fight Against White Supremacy</t>
  </si>
  <si>
    <t>813/.4 B</t>
  </si>
  <si>
    <t>PS3088.K37 2016</t>
  </si>
  <si>
    <t>https://ebookcentral.proquest.com/lib/cam/detail.action?docID=4443620</t>
  </si>
  <si>
    <t>Manifestos and Polemics in Latin American Modern Art</t>
  </si>
  <si>
    <t>N6502.5.M365 2017</t>
  </si>
  <si>
    <t>https://ebookcentral.proquest.com/lib/cam/detail.action?docID=4744150</t>
  </si>
  <si>
    <t>The Disappearing L : Erasure of Lesbian Spaces and Culture</t>
  </si>
  <si>
    <t>306.76/630973</t>
  </si>
  <si>
    <t>HQ76.96.M67 2016eb</t>
  </si>
  <si>
    <t>https://ebookcentral.proquest.com/lib/cam/detail.action?docID=4623043</t>
  </si>
  <si>
    <t>Menachem Begin and the Israel-Egypt Peace Process : Between Ideology and Political Realism</t>
  </si>
  <si>
    <t>DS126.6.B33 .S745 2019</t>
  </si>
  <si>
    <t>https://ebookcentral.proquest.com/lib/cam/detail.action?docID=5716779</t>
  </si>
  <si>
    <t>Vocation Lectures : “Science as a Vocation</t>
  </si>
  <si>
    <t>Hackett Publishing Company, Incorporated</t>
  </si>
  <si>
    <t>502/.3</t>
  </si>
  <si>
    <t>Q147 -- .W413 2004eb</t>
  </si>
  <si>
    <t>https://ebookcentral.proquest.com/lib/cam/detail.action?docID=1107298</t>
  </si>
  <si>
    <t>Aesthetic Nervousness : Disability and the Crisis of Representation</t>
  </si>
  <si>
    <t>PR9080.5 -- .Q38 2007eb</t>
  </si>
  <si>
    <t>https://ebookcentral.proquest.com/lib/cam/detail.action?docID=908392</t>
  </si>
  <si>
    <t>Chinese Discourses on Happiness</t>
  </si>
  <si>
    <t>Psychology; Home Economics</t>
  </si>
  <si>
    <t>BF575.H27 .C456 2018</t>
  </si>
  <si>
    <t>https://ebookcentral.proquest.com/lib/cam/detail.action?docID=5751573</t>
  </si>
  <si>
    <t>Undoing the Revolution : Comparing Elite Subversion of Peasant Rebellions</t>
  </si>
  <si>
    <t>Agriculture; Business/Management; Social Science</t>
  </si>
  <si>
    <t>303.6/2</t>
  </si>
  <si>
    <t>HD1537</t>
  </si>
  <si>
    <t>https://ebookcentral.proquest.com/lib/cam/detail.action?docID=5774750</t>
  </si>
  <si>
    <t>Of Land, Bones, and Money : Toward a South African Ecopoetics</t>
  </si>
  <si>
    <t>PL8795.7 .M345 2019</t>
  </si>
  <si>
    <t>https://ebookcentral.proquest.com/lib/cam/detail.action?docID=5824789</t>
  </si>
  <si>
    <t>Open Borders : In Defense of Free Movement</t>
  </si>
  <si>
    <t>JV6225 .O646 2019</t>
  </si>
  <si>
    <t>https://ebookcentral.proquest.com/lib/cam/detail.action?docID=5628213</t>
  </si>
  <si>
    <t>Plato's Philosophers : The Coherence of the Dialogues</t>
  </si>
  <si>
    <t>B395</t>
  </si>
  <si>
    <t>https://ebookcentral.proquest.com/lib/cam/detail.action?docID=457397</t>
  </si>
  <si>
    <t>East German Historians since Reunification : A Discipline Transformed</t>
  </si>
  <si>
    <t>907.2/0431</t>
  </si>
  <si>
    <t>DD281.6.E278 2017</t>
  </si>
  <si>
    <t>https://ebookcentral.proquest.com/lib/cam/detail.action?docID=4908130</t>
  </si>
  <si>
    <t>Solidarity Mobilizations in the 'Refugee Crisis' : Contentious Moves</t>
  </si>
  <si>
    <t>https://ebookcentral.proquest.com/lib/cam/detail.action?docID=5309360</t>
  </si>
  <si>
    <t>Other Musics : New Latina Poetry</t>
  </si>
  <si>
    <t>PS591.H58 .O844 2019</t>
  </si>
  <si>
    <t>https://ebookcentral.proquest.com/lib/cam/detail.action?docID=5763166</t>
  </si>
  <si>
    <t>Assembling Ethnicities in Neoliberal Times : Ethnographic Fictions and Sri Lanka’s War</t>
  </si>
  <si>
    <t>820.9/95493</t>
  </si>
  <si>
    <t>PR9440</t>
  </si>
  <si>
    <t>https://ebookcentral.proquest.com/lib/cam/detail.action?docID=5889103</t>
  </si>
  <si>
    <t>A Wall of Our Own : An American History of the Berlin Wall</t>
  </si>
  <si>
    <t>https://ebookcentral.proquest.com/lib/cam/detail.action?docID=6110224</t>
  </si>
  <si>
    <t>Play and the Human Condition</t>
  </si>
  <si>
    <t>306.4/81</t>
  </si>
  <si>
    <t>HQ782</t>
  </si>
  <si>
    <t>https://ebookcentral.proquest.com/lib/cam/detail.action?docID=4792721</t>
  </si>
  <si>
    <t>The Music of Chopin and the Rule of St Benedict : A Mystical Panorama of Life</t>
  </si>
  <si>
    <t>ML410.C54 -- .S2513 2014eb</t>
  </si>
  <si>
    <t>https://ebookcentral.proquest.com/lib/cam/detail.action?docID=1753006</t>
  </si>
  <si>
    <t>Theological Anthropology: a Guide for the Perplexed</t>
  </si>
  <si>
    <t>BL256.C67 2010</t>
  </si>
  <si>
    <t>https://ebookcentral.proquest.com/lib/cam/detail.action?docID=601696</t>
  </si>
  <si>
    <t>Poems Written Abroad : The Lilly Library Manuscript</t>
  </si>
  <si>
    <t>PR6037.P47 .S646 2019</t>
  </si>
  <si>
    <t>https://ebookcentral.proquest.com/lib/cam/detail.action?docID=5788807</t>
  </si>
  <si>
    <t>Evangelical Gothic : The English Novel and the Religious War on Virtue from Wesley to Dracula</t>
  </si>
  <si>
    <t>PR830.E85 .H473 2019</t>
  </si>
  <si>
    <t>https://ebookcentral.proquest.com/lib/cam/detail.action?docID=5906208</t>
  </si>
  <si>
    <t>Making Sense of the Central African Republic</t>
  </si>
  <si>
    <t>Zed Books</t>
  </si>
  <si>
    <t>967.4105;967.4105/092</t>
  </si>
  <si>
    <t>DT352.8</t>
  </si>
  <si>
    <t>https://ebookcentral.proquest.com/lib/cam/detail.action?docID=2084602</t>
  </si>
  <si>
    <t>The Mana of Mass Society</t>
  </si>
  <si>
    <t>GN471</t>
  </si>
  <si>
    <t>https://ebookcentral.proquest.com/lib/cam/detail.action?docID=6036917</t>
  </si>
  <si>
    <t>Circuit Listening : Chinese Popular Music in the Global 1960s</t>
  </si>
  <si>
    <t>https://ebookcentral.proquest.com/lib/cam/detail.action?docID=6129709</t>
  </si>
  <si>
    <t>Tales from the Haunted South : Dark Tourism and Memories of Slavery from the Civil War Era</t>
  </si>
  <si>
    <t>BF1472.U6M546 2015</t>
  </si>
  <si>
    <t>https://ebookcentral.proquest.com/lib/cam/detail.action?docID=4322268</t>
  </si>
  <si>
    <t>A Dream of Hitchcock</t>
  </si>
  <si>
    <t>791.4302/33092</t>
  </si>
  <si>
    <t>PN1998.3.H58 .P664 2019</t>
  </si>
  <si>
    <t>https://ebookcentral.proquest.com/lib/cam/detail.action?docID=5627254</t>
  </si>
  <si>
    <t>Hidden Hitchcock</t>
  </si>
  <si>
    <t>PN1998</t>
  </si>
  <si>
    <t>https://ebookcentral.proquest.com/lib/cam/detail.action?docID=4443104</t>
  </si>
  <si>
    <t>Radical Aesthetics and Modern Black Nationalism</t>
  </si>
  <si>
    <t>320.54/60973</t>
  </si>
  <si>
    <t>E185</t>
  </si>
  <si>
    <t>https://ebookcentral.proquest.com/lib/cam/detail.action?docID=4443556</t>
  </si>
  <si>
    <t>Ecosystem Edge : Sustaining Competitiveness in the Face of Disruption</t>
  </si>
  <si>
    <t>https://ebookcentral.proquest.com/lib/cam/detail.action?docID=6129691</t>
  </si>
  <si>
    <t>Fortschreibung und Auslegung : Studien zur frühen Koraninterpretation</t>
  </si>
  <si>
    <t>BP130.45.S57 2009</t>
  </si>
  <si>
    <t>https://ebookcentral.proquest.com/lib/cam/detail.action?docID=1714205</t>
  </si>
  <si>
    <t>The Control War : The Struggle for South Vietnam, 1968-1975</t>
  </si>
  <si>
    <t>DS557.7 .C55 2018</t>
  </si>
  <si>
    <t>https://ebookcentral.proquest.com/lib/cam/detail.action?docID=5334149</t>
  </si>
  <si>
    <t>Scale in Literature and Culture</t>
  </si>
  <si>
    <t>https://ebookcentral.proquest.com/lib/cam/detail.action?docID=5183815</t>
  </si>
  <si>
    <t>The False Cause : Fraud, Fabrication, and White Supremacy in Confederate Memory</t>
  </si>
  <si>
    <t>320.56/909</t>
  </si>
  <si>
    <t>E645 .D663 2020</t>
  </si>
  <si>
    <t>https://ebookcentral.proquest.com/lib/cam/detail.action?docID=6027094</t>
  </si>
  <si>
    <t>Defiant Geographies : Race and Urban Space in 1920s Rio de Janeiro</t>
  </si>
  <si>
    <t>History; Literature</t>
  </si>
  <si>
    <t>https://ebookcentral.proquest.com/lib/cam/detail.action?docID=6126340</t>
  </si>
  <si>
    <t>Maritime Communities of the Ancient Andes</t>
  </si>
  <si>
    <t>CC79.5.H85 B544</t>
  </si>
  <si>
    <t>https://ebookcentral.proquest.com/lib/cam/detail.action?docID=5995843</t>
  </si>
  <si>
    <t>Northrop Frye and Others : The Order of Words</t>
  </si>
  <si>
    <t>PN75 F7 .464 2017</t>
  </si>
  <si>
    <t>https://ebookcentral.proquest.com/lib/cam/detail.action?docID=5217528</t>
  </si>
  <si>
    <t>School Photos in Liquid Time : Reframing Difference</t>
  </si>
  <si>
    <t>779/.25</t>
  </si>
  <si>
    <t>SB</t>
  </si>
  <si>
    <t>https://ebookcentral.proquest.com/lib/cam/detail.action?docID=6002067</t>
  </si>
  <si>
    <t>With Respect to Sex : Negotiating Hijra Identity in South India</t>
  </si>
  <si>
    <t>305.3/0954</t>
  </si>
  <si>
    <t>HQ77</t>
  </si>
  <si>
    <t>https://ebookcentral.proquest.com/lib/cam/detail.action?docID=534598</t>
  </si>
  <si>
    <t>An Environmental History of the Civil War</t>
  </si>
  <si>
    <t>History; Environmental Studies</t>
  </si>
  <si>
    <t>https://ebookcentral.proquest.com/lib/cam/detail.action?docID=6118559</t>
  </si>
  <si>
    <t>Satan and Apocalypse : And Other Essays in Political Theology</t>
  </si>
  <si>
    <t>BS646.A485 2017</t>
  </si>
  <si>
    <t>https://ebookcentral.proquest.com/lib/cam/detail.action?docID=5144412</t>
  </si>
  <si>
    <t>Transgenerational Remembrance : Performance and the Asia-Pacific War in Contemporary Japan</t>
  </si>
  <si>
    <t>PN2924</t>
  </si>
  <si>
    <t>https://ebookcentral.proquest.com/lib/cam/detail.action?docID=6021122</t>
  </si>
  <si>
    <t>Small Space of a Pause : Susan Howe's Poetry and the Spaces Between</t>
  </si>
  <si>
    <t>Bucknell University Press</t>
  </si>
  <si>
    <t>811/.54</t>
  </si>
  <si>
    <t>PS3558.O8935 -- Z75 2010eb</t>
  </si>
  <si>
    <t>https://ebookcentral.proquest.com/lib/cam/detail.action?docID=3115936</t>
  </si>
  <si>
    <t>Farber Plays One</t>
  </si>
  <si>
    <t>Oberon Books Ltd</t>
  </si>
  <si>
    <t>822/.92</t>
  </si>
  <si>
    <t>PR9369.4.F37 .F373 2015</t>
  </si>
  <si>
    <t>https://ebookcentral.proquest.com/lib/cam/detail.action?docID=5282835</t>
  </si>
  <si>
    <t>Queer Domesticities : Homosexuality and Home Life in Twentieth-Century London</t>
  </si>
  <si>
    <t>https://ebookcentral.proquest.com/lib/cam/detail.action?docID=1685968</t>
  </si>
  <si>
    <t>A Sense of Things : The Object Matter of American Literature</t>
  </si>
  <si>
    <t>813/.409355</t>
  </si>
  <si>
    <t>https://ebookcentral.proquest.com/lib/cam/detail.action?docID=5182718</t>
  </si>
  <si>
    <t>Progressive Evangelicals and the Pursuit of Social Justice</t>
  </si>
  <si>
    <t>277.3/083</t>
  </si>
  <si>
    <t>BR517 -- .G37 2014eb</t>
  </si>
  <si>
    <t>https://ebookcentral.proquest.com/lib/cam/detail.action?docID=3039512</t>
  </si>
  <si>
    <t>The Smoke of the Soul : Medicine, Physiology and Religion in Early Modern England</t>
  </si>
  <si>
    <t>Literature; Religion</t>
  </si>
  <si>
    <t>https://ebookcentral.proquest.com/lib/cam/detail.action?docID=1571951</t>
  </si>
  <si>
    <t>Utopian Horizons : Ideology, Politics, Literature</t>
  </si>
  <si>
    <t>Central European University LLC</t>
  </si>
  <si>
    <t>335/.02</t>
  </si>
  <si>
    <t>HX806.U867 2017</t>
  </si>
  <si>
    <t>https://ebookcentral.proquest.com/lib/cam/detail.action?docID=4875992</t>
  </si>
  <si>
    <t>Irish Writers in the Irish American Press, 1882-1964</t>
  </si>
  <si>
    <t>PR8752 .B885 2018</t>
  </si>
  <si>
    <t>https://ebookcentral.proquest.com/lib/cam/detail.action?docID=5621984</t>
  </si>
  <si>
    <t>Circling the Canon, Volume I : The Selected Book Reviews of Marjorie Perloff, 1969-1994</t>
  </si>
  <si>
    <t>PS323.5 .P475 2019</t>
  </si>
  <si>
    <t>https://ebookcentral.proquest.com/lib/cam/detail.action?docID=5928222</t>
  </si>
  <si>
    <t>Massacres : Bioarchaeology and Forensic Anthropology Approaches</t>
  </si>
  <si>
    <t>HV6505 .M385 2018</t>
  </si>
  <si>
    <t>https://ebookcentral.proquest.com/lib/cam/detail.action?docID=5583731</t>
  </si>
  <si>
    <t>The Diary : The Epic of Everyday Life</t>
  </si>
  <si>
    <t>https://ebookcentral.proquest.com/lib/cam/detail.action?docID=6122291</t>
  </si>
  <si>
    <t>Beyond Mary or Martha : Reclaiming Ancient Models of Discipleship</t>
  </si>
  <si>
    <t>BS2595</t>
  </si>
  <si>
    <t>https://ebookcentral.proquest.com/lib/cam/detail.action?docID=5963062</t>
  </si>
  <si>
    <t>Who Owns the Problem? : Africa and the Struggle for Agency</t>
  </si>
  <si>
    <t>DT14</t>
  </si>
  <si>
    <t>https://ebookcentral.proquest.com/lib/cam/detail.action?docID=5981493</t>
  </si>
  <si>
    <t>Civic and Uncivic Values in Poland : Value Transformation, Education, and Culture</t>
  </si>
  <si>
    <t>https://ebookcentral.proquest.com/lib/cam/detail.action?docID=6002235</t>
  </si>
  <si>
    <t>Technology and Tradition in Mesoamerica after the Spanish Invasion : Archaeological Perspectives</t>
  </si>
  <si>
    <t>972/.01</t>
  </si>
  <si>
    <t>F1219 .T434 2019</t>
  </si>
  <si>
    <t>https://ebookcentral.proquest.com/lib/cam/detail.action?docID=5683499</t>
  </si>
  <si>
    <t>Neofinalism</t>
  </si>
  <si>
    <t>BD542.R8713 2016</t>
  </si>
  <si>
    <t>https://ebookcentral.proquest.com/lib/cam/detail.action?docID=4391857</t>
  </si>
  <si>
    <t>Byron's Nature : A Romantic Vision of Cultural Ecology</t>
  </si>
  <si>
    <t>https://ebookcentral.proquest.com/lib/cam/detail.action?docID=5089217</t>
  </si>
  <si>
    <t>Writing in Witness : A Holocaust Reader</t>
  </si>
  <si>
    <t>940.53/180922</t>
  </si>
  <si>
    <t>D804.3.W76 2018</t>
  </si>
  <si>
    <t>https://ebookcentral.proquest.com/lib/cam/detail.action?docID=5435821</t>
  </si>
  <si>
    <t>Religious Intolerance in America, Second Edition : A Documentary History</t>
  </si>
  <si>
    <t>https://ebookcentral.proquest.com/lib/cam/detail.action?docID=5986238</t>
  </si>
  <si>
    <t>The Endless Periphery : Toward a Geopolitics of Art in Lorenzo Lotto's Italy</t>
  </si>
  <si>
    <t>709.02/4</t>
  </si>
  <si>
    <t>N6915</t>
  </si>
  <si>
    <t>https://ebookcentral.proquest.com/lib/cam/detail.action?docID=5807054</t>
  </si>
  <si>
    <t>Origin of the Family, Private Property and the State : In the Light of the Reserches of Lewis H. Morgan</t>
  </si>
  <si>
    <t>International Publishers Company, Incorporated</t>
  </si>
  <si>
    <t>GN400 .E544 2018</t>
  </si>
  <si>
    <t>https://ebookcentral.proquest.com/lib/cam/detail.action?docID=6026147</t>
  </si>
  <si>
    <t>Education and Intergenerational Social Mobility in Europe and the United States</t>
  </si>
  <si>
    <t>https://ebookcentral.proquest.com/lib/cam/detail.action?docID=5989305</t>
  </si>
  <si>
    <t>Bluestockings : Women of Reason from Enlightenment to Romanticism</t>
  </si>
  <si>
    <t>P1-1091</t>
  </si>
  <si>
    <t>https://ebookcentral.proquest.com/lib/cam/detail.action?docID=598073</t>
  </si>
  <si>
    <t>Figs : A Global History</t>
  </si>
  <si>
    <t>Agriculture; Social Science</t>
  </si>
  <si>
    <t>SB365 -- .S888 2014eb</t>
  </si>
  <si>
    <t>https://ebookcentral.proquest.com/lib/cam/detail.action?docID=1803085</t>
  </si>
  <si>
    <t>The Resurrection of the Son of God</t>
  </si>
  <si>
    <t>BT480</t>
  </si>
  <si>
    <t>https://ebookcentral.proquest.com/lib/cam/detail.action?docID=997421</t>
  </si>
  <si>
    <t>Analogy after Aquinas</t>
  </si>
  <si>
    <t>B765</t>
  </si>
  <si>
    <t>https://ebookcentral.proquest.com/lib/cam/detail.action?docID=5647604</t>
  </si>
  <si>
    <t>Ivan the Terrible : Free to Reward and Free to Punish</t>
  </si>
  <si>
    <t>DK106 .H357 2019</t>
  </si>
  <si>
    <t>https://ebookcentral.proquest.com/lib/cam/detail.action?docID=5896830</t>
  </si>
  <si>
    <t>Women Write Iran : Nostalgia and Human Rights from the Diaspora</t>
  </si>
  <si>
    <t>818/</t>
  </si>
  <si>
    <t>PS647.I73N34 2016</t>
  </si>
  <si>
    <t>https://ebookcentral.proquest.com/lib/cam/detail.action?docID=4392048</t>
  </si>
  <si>
    <t>Songs of Profit, Songs of Loss : Private Equity, Wealth, and Inequality</t>
  </si>
  <si>
    <t>HG4751 .S685 2019</t>
  </si>
  <si>
    <t>https://ebookcentral.proquest.com/lib/cam/detail.action?docID=5745408</t>
  </si>
  <si>
    <t>The Palgrave Handbook of Prison Tourism</t>
  </si>
  <si>
    <t>https://ebookcentral.proquest.com/lib/cam/detail.action?docID=4862026</t>
  </si>
  <si>
    <t>Domestications : American Empire, Literary Culture, and the Postcolonial Lens</t>
  </si>
  <si>
    <t>https://ebookcentral.proquest.com/lib/cam/detail.action?docID=5435769</t>
  </si>
  <si>
    <t>British Fiction after Modernism : The Novel at Mid-Century</t>
  </si>
  <si>
    <t>https://ebookcentral.proquest.com/lib/cam/detail.action?docID=296540</t>
  </si>
  <si>
    <t>Finding God Through Yoga : Paramahansa Yogananda and Modern American Religion in a Global Age</t>
  </si>
  <si>
    <t>204/.36</t>
  </si>
  <si>
    <t>BP605.S43 .N486 2019</t>
  </si>
  <si>
    <t>https://ebookcentral.proquest.com/lib/cam/detail.action?docID=5683577</t>
  </si>
  <si>
    <t>Community-Based Participatory Research : Testimonios from Chicana/o Studies</t>
  </si>
  <si>
    <t>305.868/72073</t>
  </si>
  <si>
    <t>https://ebookcentral.proquest.com/lib/cam/detail.action?docID=5729165</t>
  </si>
  <si>
    <t>Poetics of the Literary Self-Portrait</t>
  </si>
  <si>
    <t>809/.93592</t>
  </si>
  <si>
    <t>PN56.S46.M513 1991</t>
  </si>
  <si>
    <t>https://ebookcentral.proquest.com/lib/cam/detail.action?docID=4658766</t>
  </si>
  <si>
    <t>Beyond the Fruited Plain : Food and Agriculture in U.S. Literature, 1850-1905</t>
  </si>
  <si>
    <t>PS217.A38 -- .D65 2014eb</t>
  </si>
  <si>
    <t>https://ebookcentral.proquest.com/lib/cam/detail.action?docID=1809807</t>
  </si>
  <si>
    <t>New Woman Ecologies : From Arts and Crafts to the Great War and Beyond</t>
  </si>
  <si>
    <t>HQ1194 .C377 2019</t>
  </si>
  <si>
    <t>https://ebookcentral.proquest.com/lib/cam/detail.action?docID=5915583</t>
  </si>
  <si>
    <t>The Americanization of the British Press, 1830s-1914 : Speed in the Age of Transatlantic Journalism</t>
  </si>
  <si>
    <t>Journalism; Social Science</t>
  </si>
  <si>
    <t>https://ebookcentral.proquest.com/lib/cam/detail.action?docID=785008</t>
  </si>
  <si>
    <t>Rewriting the Hero and the Quest : Myth and Monomyth in "Captain Corelli’s Mandolin" by Louis de Bernières</t>
  </si>
  <si>
    <t>PR6054.E132 -- .C6346 2014eb</t>
  </si>
  <si>
    <t>https://ebookcentral.proquest.com/lib/cam/detail.action?docID=1710518</t>
  </si>
  <si>
    <t>Nut Country : Right-Wing Dallas and the Birth of the Southern Strategy</t>
  </si>
  <si>
    <t>324.273409/045</t>
  </si>
  <si>
    <t>JK2359</t>
  </si>
  <si>
    <t>https://ebookcentral.proquest.com/lib/cam/detail.action?docID=4416661</t>
  </si>
  <si>
    <t>Where the Land Meets the Sea : Fourteen Millennia of Human History at Huaca Prieta, Peru</t>
  </si>
  <si>
    <t>F3429.1.C486.W547 2017</t>
  </si>
  <si>
    <t>https://ebookcentral.proquest.com/lib/cam/detail.action?docID=4875072</t>
  </si>
  <si>
    <t>The Ruins Lesson : Meaning and Material in Western Culture</t>
  </si>
  <si>
    <t>809/.9335</t>
  </si>
  <si>
    <t>https://ebookcentral.proquest.com/lib/cam/detail.action?docID=6011592</t>
  </si>
  <si>
    <t>A Mighty Capital under Threat : The Environmental History of London, 1800-2000</t>
  </si>
  <si>
    <t>https://ebookcentral.proquest.com/lib/cam/detail.action?docID=6126341</t>
  </si>
  <si>
    <t>Marketing Hope : Get-Rich-Quick Schemes in Siberia</t>
  </si>
  <si>
    <t>HV6699.R92 S5273 201</t>
  </si>
  <si>
    <t>https://ebookcentral.proquest.com/lib/cam/detail.action?docID=5755339</t>
  </si>
  <si>
    <t>Art as an Investment? : A Survey of Comparative Assets</t>
  </si>
  <si>
    <t>Taylor &amp; Francis Group</t>
  </si>
  <si>
    <t>Economics; Fine Arts</t>
  </si>
  <si>
    <t>N8600 -- .G45 2014eb</t>
  </si>
  <si>
    <t>https://ebookcentral.proquest.com/lib/cam/detail.action?docID=1593350</t>
  </si>
  <si>
    <t>Mental Health and Palestinian Citizens in Israel</t>
  </si>
  <si>
    <t>HM1131 .M468 2019</t>
  </si>
  <si>
    <t>https://ebookcentral.proquest.com/lib/cam/detail.action?docID=5896122</t>
  </si>
  <si>
    <t>Ornamentalism</t>
  </si>
  <si>
    <t>Oxford University Press, Incorporated</t>
  </si>
  <si>
    <t>BF175.5.F45C485 2019</t>
  </si>
  <si>
    <t>https://ebookcentral.proquest.com/lib/cam/detail.action?docID=5611121</t>
  </si>
  <si>
    <t>The Gunpowder Plot Classic Histories Series</t>
  </si>
  <si>
    <t>History Press Limited, The</t>
  </si>
  <si>
    <t>DA392.H35</t>
  </si>
  <si>
    <t>https://ebookcentral.proquest.com/lib/cam/detail.action?docID=844852</t>
  </si>
  <si>
    <t>Another Philosophy of History and Selected Political Writings</t>
  </si>
  <si>
    <t>901 22</t>
  </si>
  <si>
    <t>B3051.Z7 J6 2004eb</t>
  </si>
  <si>
    <t>https://ebookcentral.proquest.com/lib/cam/detail.action?docID=294918</t>
  </si>
  <si>
    <t>Writing London : Volume 3: Inventions of the City</t>
  </si>
  <si>
    <t>https://ebookcentral.proquest.com/lib/cam/detail.action?docID=344980</t>
  </si>
  <si>
    <t>Tennyson and Geology : Poetry and Poetics</t>
  </si>
  <si>
    <t>https://ebookcentral.proquest.com/lib/cam/detail.action?docID=5199600</t>
  </si>
  <si>
    <t>Pink-Slipped : What Happened to Women in the Silent Film Industries?</t>
  </si>
  <si>
    <t>791.43/6522</t>
  </si>
  <si>
    <t>PN1995</t>
  </si>
  <si>
    <t>https://ebookcentral.proquest.com/lib/cam/detail.action?docID=5312407</t>
  </si>
  <si>
    <t>The Poetics of Digital Media</t>
  </si>
  <si>
    <t>Polity Press</t>
  </si>
  <si>
    <t>P90 .F767 2019</t>
  </si>
  <si>
    <t>https://ebookcentral.proquest.com/lib/cam/detail.action?docID=5625436</t>
  </si>
  <si>
    <t>Rumble and Crash : Crises of Capitalism in Contemporary Film</t>
  </si>
  <si>
    <t>791.436/553</t>
  </si>
  <si>
    <t>PN1993.5.A1 .S944 2019</t>
  </si>
  <si>
    <t>https://ebookcentral.proquest.com/lib/cam/detail.action?docID=5667604</t>
  </si>
  <si>
    <t>Materials of the Mind : Phrenology, Race, and the Global History of Science, 1815-1920</t>
  </si>
  <si>
    <t>BF868</t>
  </si>
  <si>
    <t>https://ebookcentral.proquest.com/lib/cam/detail.action?docID=5743845</t>
  </si>
  <si>
    <t>Constructing Jesus : Memory, Imagination, and History</t>
  </si>
  <si>
    <t>BT303.2 -- .A45 2013eb</t>
  </si>
  <si>
    <t>https://ebookcentral.proquest.com/lib/cam/detail.action?docID=3117161</t>
  </si>
  <si>
    <t>Capitalism : A Conversation in Critical Theory</t>
  </si>
  <si>
    <t>HB501 .F737 2018</t>
  </si>
  <si>
    <t>https://ebookcentral.proquest.com/lib/cam/detail.action?docID=5439384</t>
  </si>
  <si>
    <t>The Lesbian Premodern</t>
  </si>
  <si>
    <t>306.76/6309</t>
  </si>
  <si>
    <t>https://ebookcentral.proquest.com/lib/cam/detail.action?docID=665884</t>
  </si>
  <si>
    <t>Good Form : The Ethical Experience of the Victorian Novel</t>
  </si>
  <si>
    <t>PR1145.R674 2017</t>
  </si>
  <si>
    <t>https://ebookcentral.proquest.com/lib/cam/detail.action?docID=4768011</t>
  </si>
  <si>
    <t>Women, Camp, and Popular Culture : Serious Excess</t>
  </si>
  <si>
    <t>https://ebookcentral.proquest.com/lib/cam/detail.action?docID=5149436</t>
  </si>
  <si>
    <t>The Palgrave Handbook of African Politics, Governance and Development</t>
  </si>
  <si>
    <t>https://ebookcentral.proquest.com/lib/cam/detail.action?docID=5098672</t>
  </si>
  <si>
    <t>Two Views on Homosexuality, the Bible, and the Church</t>
  </si>
  <si>
    <t>https://ebookcentral.proquest.com/lib/cam/detail.action?docID=5608168</t>
  </si>
  <si>
    <t>Transnational Hispaniola : New Directions in Haitian and Dominican Studies</t>
  </si>
  <si>
    <t>F1916 .T736 2018</t>
  </si>
  <si>
    <t>https://ebookcentral.proquest.com/lib/cam/detail.action?docID=5412776</t>
  </si>
  <si>
    <t>Growing up in Ancient Israel : Children in Material Culture and Biblical Texts</t>
  </si>
  <si>
    <t>DS112</t>
  </si>
  <si>
    <t>https://ebookcentral.proquest.com/lib/cam/detail.action?docID=5575013</t>
  </si>
  <si>
    <t>Race and Nature from Transcendentalism to the Harlem Renaissance</t>
  </si>
  <si>
    <t>https://ebookcentral.proquest.com/lib/cam/detail.action?docID=4715852</t>
  </si>
  <si>
    <t>Genealogies of the Secular : The Making of Modern German Thought</t>
  </si>
  <si>
    <t>211/.6</t>
  </si>
  <si>
    <t>BT83.7 .G46 2019</t>
  </si>
  <si>
    <t>https://ebookcentral.proquest.com/lib/cam/detail.action?docID=5971253</t>
  </si>
  <si>
    <t>Politische Internet-Memes – Theoretische Herausforderungen und empirische Befunde</t>
  </si>
  <si>
    <t>Frank &amp; Timme</t>
  </si>
  <si>
    <t>JA71 .P655 2019</t>
  </si>
  <si>
    <t>https://ebookcentral.proquest.com/lib/cam/detail.action?docID=5719835</t>
  </si>
  <si>
    <t>Wondrously Wounded : Theology, Disability, and the Body of Christ</t>
  </si>
  <si>
    <t>Religion; Social Science</t>
  </si>
  <si>
    <t>https://ebookcentral.proquest.com/lib/cam/detail.action?docID=5906214</t>
  </si>
  <si>
    <t>Global Garveyism</t>
  </si>
  <si>
    <t>E185.97.G3 G56</t>
  </si>
  <si>
    <t>https://ebookcentral.proquest.com/lib/cam/detail.action?docID=5718264</t>
  </si>
  <si>
    <t>Human Rights, Refugee Protest and Immigration Detention</t>
  </si>
  <si>
    <t>https://ebookcentral.proquest.com/lib/cam/detail.action?docID=4719837</t>
  </si>
  <si>
    <t>Religion and Regulation in Indonesia</t>
  </si>
  <si>
    <t>Religion; Political Science</t>
  </si>
  <si>
    <t>BL1-2790</t>
  </si>
  <si>
    <t>https://ebookcentral.proquest.com/lib/cam/detail.action?docID=4777497</t>
  </si>
  <si>
    <t>Risky Shores : Savagery and Colonialism in the Western Pacific</t>
  </si>
  <si>
    <t>DU490 .B445 2018</t>
  </si>
  <si>
    <t>https://ebookcentral.proquest.com/lib/cam/detail.action?docID=5400998</t>
  </si>
  <si>
    <t>Looking with Robert Gardner</t>
  </si>
  <si>
    <t>GN347.L66 2016</t>
  </si>
  <si>
    <t>https://ebookcentral.proquest.com/lib/cam/detail.action?docID=4623042</t>
  </si>
  <si>
    <t>War and Public Memory : Case Studies in Twentieth-Century Europe</t>
  </si>
  <si>
    <t>D424</t>
  </si>
  <si>
    <t>https://ebookcentral.proquest.com/lib/cam/detail.action?docID=6001496</t>
  </si>
  <si>
    <t>Borderless Empire : Dutch Guiana in the Atlantic World, 1750-1800</t>
  </si>
  <si>
    <t>https://ebookcentral.proquest.com/lib/cam/detail.action?docID=6001764</t>
  </si>
  <si>
    <t>The Burden of the Past : History, Memory, and Identity in Contemporary Ukraine</t>
  </si>
  <si>
    <t>https://ebookcentral.proquest.com/lib/cam/detail.action?docID=6119370</t>
  </si>
  <si>
    <t>Memory Passages : Holocaust Memorials in the United States and Germany</t>
  </si>
  <si>
    <t>D804.17 .G653 2020</t>
  </si>
  <si>
    <t>https://ebookcentral.proquest.com/lib/cam/detail.action?docID=6027286</t>
  </si>
  <si>
    <t>A Kingdom of Water : Adaptation and Survival in the Houma Nation</t>
  </si>
  <si>
    <t>https://ebookcentral.proquest.com/lib/cam/detail.action?docID=6038441</t>
  </si>
  <si>
    <t>The Securitization of Memorial Space : Rhetoric and Public Memory</t>
  </si>
  <si>
    <t>HV6432.7 .P35 2019</t>
  </si>
  <si>
    <t>https://ebookcentral.proquest.com/lib/cam/detail.action?docID=5897663</t>
  </si>
  <si>
    <t>Memorials Matter : Emotion, Environment and Public Memory at American Historical Sites</t>
  </si>
  <si>
    <t>University of Nevada Press</t>
  </si>
  <si>
    <t>F590</t>
  </si>
  <si>
    <t>https://ebookcentral.proquest.com/lib/cam/detail.action?docID=5646109</t>
  </si>
  <si>
    <t>Surface : Matters of Aesthetics, Materiality, and Media</t>
  </si>
  <si>
    <t>111/.85</t>
  </si>
  <si>
    <t>BH39</t>
  </si>
  <si>
    <t>https://ebookcentral.proquest.com/lib/cam/detail.action?docID=3038578</t>
  </si>
  <si>
    <t>Thomas Aquinas on the Immateriality of the Human Intellect</t>
  </si>
  <si>
    <t>https://ebookcentral.proquest.com/lib/cam/detail.action?docID=5994911</t>
  </si>
  <si>
    <t>The Christian Moses</t>
  </si>
  <si>
    <t>BS580.M6 .C475 2019</t>
  </si>
  <si>
    <t>https://ebookcentral.proquest.com/lib/cam/detail.action?docID=5846191</t>
  </si>
  <si>
    <t>The Spanish Disquiet : The Biblical Natural Philosophy of Benito Arias Montano</t>
  </si>
  <si>
    <t>230/.2092</t>
  </si>
  <si>
    <t>BX4705</t>
  </si>
  <si>
    <t>https://ebookcentral.proquest.com/lib/cam/detail.action?docID=5517432</t>
  </si>
  <si>
    <t>How China Sees the World : Han-Centrism and the Balance of Power in International Politics</t>
  </si>
  <si>
    <t>JZ1734 .F754 2018</t>
  </si>
  <si>
    <t>https://ebookcentral.proquest.com/lib/cam/detail.action?docID=5569164</t>
  </si>
  <si>
    <t>Buddhisms in Asia : Traditions, Transmissions, and Transformations</t>
  </si>
  <si>
    <t>BQ118 .B833 2019</t>
  </si>
  <si>
    <t>https://ebookcentral.proquest.com/lib/cam/detail.action?docID=5904695</t>
  </si>
  <si>
    <t>The Phantom of a Polarized America : Myths and Truths of an Ideological Divide</t>
  </si>
  <si>
    <t>JK2261.S24 2015</t>
  </si>
  <si>
    <t>https://ebookcentral.proquest.com/lib/cam/detail.action?docID=4396632</t>
  </si>
  <si>
    <t>Sultanic Saviors and Tolerant Turks : Writing Ottoman Jewish History, Denying the Armenian Genocide</t>
  </si>
  <si>
    <t>https://ebookcentral.proquest.com/lib/cam/detail.action?docID=6123187</t>
  </si>
  <si>
    <t>'Guilty Women', Foreign Policy, and Appeasement in Inter-War Britain</t>
  </si>
  <si>
    <t>https://ebookcentral.proquest.com/lib/cam/detail.action?docID=4082193</t>
  </si>
  <si>
    <t>Robert Thornton and His Books : Essays on the Lincoln and London Thornton Manuscripts</t>
  </si>
  <si>
    <t>York Medieval Press</t>
  </si>
  <si>
    <t>General Works/Reference; Literature</t>
  </si>
  <si>
    <t>Z106.5.G7 -- .R63 2014eb</t>
  </si>
  <si>
    <t>https://ebookcentral.proquest.com/lib/cam/detail.action?docID=1686907</t>
  </si>
  <si>
    <t>Reading and Teaching Ancient Fiction : Jewish, Christian, and Greco-Roman Narratives</t>
  </si>
  <si>
    <t>PA3003</t>
  </si>
  <si>
    <t>https://ebookcentral.proquest.com/lib/cam/detail.action?docID=5317872</t>
  </si>
  <si>
    <t>Political Theology : Four Chapters on the Concept of Sovereignty</t>
  </si>
  <si>
    <t>320.1/5</t>
  </si>
  <si>
    <t>JC327</t>
  </si>
  <si>
    <t>https://ebookcentral.proquest.com/lib/cam/detail.action?docID=581738</t>
  </si>
  <si>
    <t>Critique of Forms of Life</t>
  </si>
  <si>
    <t>Harvard University Press</t>
  </si>
  <si>
    <t>Philosophy; Social Science</t>
  </si>
  <si>
    <t>https://ebookcentral.proquest.com/lib/cam/detail.action?docID=5583692</t>
  </si>
  <si>
    <t>Model Theoretic Methods in Finite Combinatorics</t>
  </si>
  <si>
    <t>American Mathematical Society</t>
  </si>
  <si>
    <t>QA9.7 -- .M583 2011eb</t>
  </si>
  <si>
    <t>https://ebookcentral.proquest.com/lib/cam/detail.action?docID=3113159</t>
  </si>
  <si>
    <t>Intensive Longitudinal Methods : An Introduction to Diary and Experience Sampling Research</t>
  </si>
  <si>
    <t>Guilford Publications</t>
  </si>
  <si>
    <t>Social Science; General Works/Reference</t>
  </si>
  <si>
    <t>001.4/33</t>
  </si>
  <si>
    <t>H61 -- .B62165 2013eb</t>
  </si>
  <si>
    <t>https://ebookcentral.proquest.com/lib/cam/detail.action?docID=1115201</t>
  </si>
  <si>
    <t>Handbook of Developmental Research Methods</t>
  </si>
  <si>
    <t>BF713 -- .H3643 2012eb</t>
  </si>
  <si>
    <t>https://ebookcentral.proquest.com/lib/cam/detail.action?docID=836859</t>
  </si>
  <si>
    <t>Hungarian Culture and Politics in the Habsburg Monarchy, 1711-1848</t>
  </si>
  <si>
    <t>943.9/042</t>
  </si>
  <si>
    <t>DB932.5 -- .V46 2014eb</t>
  </si>
  <si>
    <t>https://ebookcentral.proquest.com/lib/cam/detail.action?docID=3137373</t>
  </si>
  <si>
    <t>Introduction to Habermas</t>
  </si>
  <si>
    <t>UPA</t>
  </si>
  <si>
    <t>Education; Social Science</t>
  </si>
  <si>
    <t>LB880.H242 -- .S447 2014eb</t>
  </si>
  <si>
    <t>https://ebookcentral.proquest.com/lib/cam/detail.action?docID=1574411</t>
  </si>
  <si>
    <t>Pulse Voltammetry in Physical Electrochemistry and Electroanalysis : Theory and Applications</t>
  </si>
  <si>
    <t>Science: Chemistry; Science: Physics; Science</t>
  </si>
  <si>
    <t>QD1-999</t>
  </si>
  <si>
    <t>https://ebookcentral.proquest.com/lib/cam/detail.action?docID=4093068</t>
  </si>
  <si>
    <t>Indigenous Food Sovereignty in the United States : Restoring Cultural Knowledge, Protecting Environments, and Regaining Health</t>
  </si>
  <si>
    <t>970.004/97</t>
  </si>
  <si>
    <t>E98.F7 .I535 2019</t>
  </si>
  <si>
    <t>https://ebookcentral.proquest.com/lib/cam/detail.action?docID=5838903</t>
  </si>
  <si>
    <t>The Shaping of Turkey in the British Imagination, 1776-1923</t>
  </si>
  <si>
    <t>https://ebookcentral.proquest.com/lib/cam/detail.action?docID=4696616</t>
  </si>
  <si>
    <t>Place and Postcolonial Ecofeminism : Pakistani Women's Literary and Cinematic Fictions</t>
  </si>
  <si>
    <t>823/.92099287095491</t>
  </si>
  <si>
    <t>PR9540.4 .R346 2019</t>
  </si>
  <si>
    <t>https://ebookcentral.proquest.com/lib/cam/detail.action?docID=5780260</t>
  </si>
  <si>
    <t>The Grip of Sexual Violence in Conflict : Feminist Interventions in International Law</t>
  </si>
  <si>
    <t>Law; Social Science</t>
  </si>
  <si>
    <t>https://ebookcentral.proquest.com/lib/cam/detail.action?docID=6039466</t>
  </si>
  <si>
    <t>Practising Diplomacy in the Mamluk Sultanate : Gifts and Material Culture in the Medieval Islamic World</t>
  </si>
  <si>
    <t>I. B. Tauris &amp; Company, Limited</t>
  </si>
  <si>
    <t>DT96 -- .B447 2014eb</t>
  </si>
  <si>
    <t>https://ebookcentral.proquest.com/lib/cam/detail.action?docID=3012093</t>
  </si>
  <si>
    <t>Jim Crace : Into the Wilderness</t>
  </si>
  <si>
    <t>https://ebookcentral.proquest.com/lib/cam/detail.action?docID=5528926</t>
  </si>
  <si>
    <t>Exploring Sentencing Practice in England and Wales</t>
  </si>
  <si>
    <t>345.42/0772</t>
  </si>
  <si>
    <t>https://ebookcentral.proquest.com/lib/cam/detail.action?docID=2006591</t>
  </si>
  <si>
    <t>The Exodus-Conquest Narrative : The Composition of the Non-Priestly Narratives in Exodus-Joshua</t>
  </si>
  <si>
    <t>BS680.E9.G476 2017</t>
  </si>
  <si>
    <t>https://ebookcentral.proquest.com/lib/cam/detail.action?docID=5123664</t>
  </si>
  <si>
    <t>Art Systems : Brazil and the 1970s</t>
  </si>
  <si>
    <t>709.81/0904</t>
  </si>
  <si>
    <t>N6655.S58 2016</t>
  </si>
  <si>
    <t>https://ebookcentral.proquest.com/lib/cam/detail.action?docID=4397280</t>
  </si>
  <si>
    <t>Dolly Parton, Gender, and Country Music</t>
  </si>
  <si>
    <t>ML420.P28 .E393 2018</t>
  </si>
  <si>
    <t>https://ebookcentral.proquest.com/lib/cam/detail.action?docID=5181682</t>
  </si>
  <si>
    <t>The Voice of the Past : Oral History</t>
  </si>
  <si>
    <t>D16.14.T48 2017</t>
  </si>
  <si>
    <t>https://ebookcentral.proquest.com/lib/cam/detail.action?docID=4799458</t>
  </si>
  <si>
    <t>Ceramics of Ancient America : Multidisciplinary Approaches</t>
  </si>
  <si>
    <t>E59.P8 C47 2018</t>
  </si>
  <si>
    <t>https://ebookcentral.proquest.com/lib/cam/detail.action?docID=5522672</t>
  </si>
  <si>
    <t>The Makeup of Rupaul's Drag Race : Essays on the Queen of Reality Shows</t>
  </si>
  <si>
    <t>McFarland &amp; Company, Incorporated Publishers</t>
  </si>
  <si>
    <t>791.45/75</t>
  </si>
  <si>
    <t>PN1992.77.R87 M35 2</t>
  </si>
  <si>
    <t>https://ebookcentral.proquest.com/lib/cam/detail.action?docID=1810329</t>
  </si>
  <si>
    <t>Alkali Activated Materials : State-Of-the-Art Report, RILEM TC 224-AAM</t>
  </si>
  <si>
    <t>Engineering: General; Engineering: Civil; Engineering</t>
  </si>
  <si>
    <t>https://ebookcentral.proquest.com/lib/cam/detail.action?docID=1592649</t>
  </si>
  <si>
    <t>Tonal Space in the Music of Antonio Vivaldi</t>
  </si>
  <si>
    <t>ML410.V82.B76 2008</t>
  </si>
  <si>
    <t>https://ebookcentral.proquest.com/lib/cam/detail.action?docID=4766636</t>
  </si>
  <si>
    <t>America's Corporal : James Tanner in War and Peace</t>
  </si>
  <si>
    <t>362.4086/97092</t>
  </si>
  <si>
    <t>E523.5 87th -- .M38 2014eb</t>
  </si>
  <si>
    <t>https://ebookcentral.proquest.com/lib/cam/detail.action?docID=1698734</t>
  </si>
  <si>
    <t>An Environmental History of Southern Malawi : Land and People of the Shire Highlands</t>
  </si>
  <si>
    <t>https://ebookcentral.proquest.com/lib/cam/detail.action?docID=4751352</t>
  </si>
  <si>
    <t>Festivalisation of Urban Spaces : Factors, Processes and Effects</t>
  </si>
  <si>
    <t>Geography/Travel; Social Science</t>
  </si>
  <si>
    <t>G1-922</t>
  </si>
  <si>
    <t>https://ebookcentral.proquest.com/lib/cam/detail.action?docID=4538376</t>
  </si>
  <si>
    <t>The Middle East Economies in Times of Transition</t>
  </si>
  <si>
    <t>HB71-74</t>
  </si>
  <si>
    <t>https://ebookcentral.proquest.com/lib/cam/detail.action?docID=4720175</t>
  </si>
  <si>
    <t>Introduction to Messianic Judaism : Its Ecclesial Context and Biblical Foundations</t>
  </si>
  <si>
    <t>BR158 .I587 2013</t>
  </si>
  <si>
    <t>https://ebookcentral.proquest.com/lib/cam/detail.action?docID=5397752</t>
  </si>
  <si>
    <t>Indoor America : The Interior Landscape of Postwar Suburbia</t>
  </si>
  <si>
    <t>NA2543.S6 .V474 2018</t>
  </si>
  <si>
    <t>https://ebookcentral.proquest.com/lib/cam/detail.action?docID=5558417</t>
  </si>
  <si>
    <t>Wellbeing and Self-Transformation in Natural Landscapes</t>
  </si>
  <si>
    <t>https://ebookcentral.proquest.com/lib/cam/detail.action?docID=5520967</t>
  </si>
  <si>
    <t>Cities under Austerity : Restructuring the US Metropolis</t>
  </si>
  <si>
    <t>Business/Management; Economics; Political Science</t>
  </si>
  <si>
    <t>JS323 .C585 2018</t>
  </si>
  <si>
    <t>https://ebookcentral.proquest.com/lib/cam/detail.action?docID=5264876</t>
  </si>
  <si>
    <t>World Film Locations: Athens</t>
  </si>
  <si>
    <t>History; Fine Arts</t>
  </si>
  <si>
    <t>DF917 -- .W675 2014eb</t>
  </si>
  <si>
    <t>https://ebookcentral.proquest.com/lib/cam/detail.action?docID=1734224</t>
  </si>
  <si>
    <t>Antisemitism and Islamophobia in Europe : A Shared Story?</t>
  </si>
  <si>
    <t>Social Science; Science</t>
  </si>
  <si>
    <t>305.892/404</t>
  </si>
  <si>
    <t>Q162</t>
  </si>
  <si>
    <t>https://ebookcentral.proquest.com/lib/cam/detail.action?docID=4837129</t>
  </si>
  <si>
    <t>A History of Art Education</t>
  </si>
  <si>
    <t>Teachers College Press</t>
  </si>
  <si>
    <t>707/.073</t>
  </si>
  <si>
    <t>N105 .E353 1990</t>
  </si>
  <si>
    <t>https://ebookcentral.proquest.com/lib/cam/detail.action?docID=5124405</t>
  </si>
  <si>
    <t>Imagining China in Tokugawa Japan : Legends, Classics, and Historical Terms</t>
  </si>
  <si>
    <t>952/.025</t>
  </si>
  <si>
    <t>DS821.5.C5 .N4 2019</t>
  </si>
  <si>
    <t>https://ebookcentral.proquest.com/lib/cam/detail.action?docID=5721179</t>
  </si>
  <si>
    <t>A Companion to Chimamanda Ngozi Adichie</t>
  </si>
  <si>
    <t>823/.92</t>
  </si>
  <si>
    <t>PR9387.9.A34354</t>
  </si>
  <si>
    <t>https://ebookcentral.proquest.com/lib/cam/detail.action?docID=4793151</t>
  </si>
  <si>
    <t>The Social Studies Curriculum : Purposes, Problems, and Possibilities, Fourth Edition</t>
  </si>
  <si>
    <t>LB1584 -- .S6373 2014eb</t>
  </si>
  <si>
    <t>https://ebookcentral.proquest.com/lib/cam/detail.action?docID=3408951</t>
  </si>
  <si>
    <t>Fine Particles : Aerosol Generation, Measurement, Sampling, and Analysis</t>
  </si>
  <si>
    <t>Engineering: Chemical; Science; Engineering; Science: Chemistry</t>
  </si>
  <si>
    <t>541.3/4515</t>
  </si>
  <si>
    <t>TP244.A3 -- S9 1975eb</t>
  </si>
  <si>
    <t>https://ebookcentral.proquest.com/lib/cam/detail.action?docID=3008752</t>
  </si>
  <si>
    <t>British Social Realism in the Arts Since 1940</t>
  </si>
  <si>
    <t>Literature; Fine Arts</t>
  </si>
  <si>
    <t>700/.412094109045</t>
  </si>
  <si>
    <t>https://ebookcentral.proquest.com/lib/cam/detail.action?docID=741956</t>
  </si>
  <si>
    <t>Under the Cover : The Creation, Production, and Reception of a Novel</t>
  </si>
  <si>
    <t>Publishing</t>
  </si>
  <si>
    <t>Z471.C455 2017</t>
  </si>
  <si>
    <t>https://ebookcentral.proquest.com/lib/cam/detail.action?docID=4878424</t>
  </si>
  <si>
    <t>Revolution in the Terra Do Sol : The Cold War in Brazil</t>
  </si>
  <si>
    <t>F2583 .S279 2018</t>
  </si>
  <si>
    <t>https://ebookcentral.proquest.com/lib/cam/detail.action?docID=5347143</t>
  </si>
  <si>
    <t>The English Renaissance, Orientalism, and the Idea of Asia</t>
  </si>
  <si>
    <t>https://ebookcentral.proquest.com/lib/cam/detail.action?docID=623800</t>
  </si>
  <si>
    <t>Mr. Putin : Operative in the Kremlin</t>
  </si>
  <si>
    <t>DK510.766.P87</t>
  </si>
  <si>
    <t>https://ebookcentral.proquest.com/lib/cam/detail.action?docID=4321748</t>
  </si>
  <si>
    <t>Darwin and the Emergence of Evolutionary Theories of Mind and Behavior</t>
  </si>
  <si>
    <t>BF711</t>
  </si>
  <si>
    <t>https://ebookcentral.proquest.com/lib/cam/detail.action?docID=3038737</t>
  </si>
  <si>
    <t>The Gods of Revolution</t>
  </si>
  <si>
    <t>DC158</t>
  </si>
  <si>
    <t>https://ebookcentral.proquest.com/lib/cam/detail.action?docID=3135190</t>
  </si>
  <si>
    <t>A History of the World in Sixteen Shipwrecks</t>
  </si>
  <si>
    <t>University Press of New England</t>
  </si>
  <si>
    <t>Geography/Travel</t>
  </si>
  <si>
    <t>G525</t>
  </si>
  <si>
    <t>https://ebookcentral.proquest.com/lib/cam/detail.action?docID=1882429</t>
  </si>
  <si>
    <t>Fictions of the City : Class, Culture and Mass Housing in London and Paris</t>
  </si>
  <si>
    <t>https://ebookcentral.proquest.com/lib/cam/detail.action?docID=555598</t>
  </si>
  <si>
    <t>Roots of the New Arab Film</t>
  </si>
  <si>
    <t>PN1993.5.A65 .A764 2018</t>
  </si>
  <si>
    <t>https://ebookcentral.proquest.com/lib/cam/detail.action?docID=5345518</t>
  </si>
  <si>
    <t>Motherhood in Antiquity</t>
  </si>
  <si>
    <t>https://ebookcentral.proquest.com/lib/cam/detail.action?docID=4819670</t>
  </si>
  <si>
    <t>Children and Childhood in Bioarchaeology : Bioarchaeological Interpretations of the Human Past: Local, Regional, and Global Perspectives</t>
  </si>
  <si>
    <t>CC79.5.H85 C45 2018</t>
  </si>
  <si>
    <t>https://ebookcentral.proquest.com/lib/cam/detail.action?docID=5389346</t>
  </si>
  <si>
    <t>Women, Writing, and Prison : Activists, Scholars, and Writers Speak Out</t>
  </si>
  <si>
    <t>Rowman &amp; Littlefield Publishers, Incorporated</t>
  </si>
  <si>
    <t>Education; Literature</t>
  </si>
  <si>
    <t>PS508.P7 -- .W664 2014eb</t>
  </si>
  <si>
    <t>https://ebookcentral.proquest.com/lib/cam/detail.action?docID=1864129</t>
  </si>
  <si>
    <t>Feminist Generations : The Persistence of the Radical Women's Movement</t>
  </si>
  <si>
    <t>305.42/0973</t>
  </si>
  <si>
    <t>HQ1154</t>
  </si>
  <si>
    <t>https://ebookcentral.proquest.com/lib/cam/detail.action?docID=557362</t>
  </si>
  <si>
    <t>From Commodification to the Common Good : Reconstructing Science, Technology, and Society</t>
  </si>
  <si>
    <t>Q175</t>
  </si>
  <si>
    <t>https://ebookcentral.proquest.com/lib/cam/detail.action?docID=5851816</t>
  </si>
  <si>
    <t>Equal Justice : Fair Legal Systems in an Unfair World</t>
  </si>
  <si>
    <t>Law</t>
  </si>
  <si>
    <t>K247</t>
  </si>
  <si>
    <t>https://ebookcentral.proquest.com/lib/cam/detail.action?docID=5883377</t>
  </si>
  <si>
    <t>Literary Indians : Aesthetics and Encounter in American Literature To 1920</t>
  </si>
  <si>
    <t>PS173.I6 .C35 2018</t>
  </si>
  <si>
    <t>https://ebookcentral.proquest.com/lib/cam/detail.action?docID=5568689</t>
  </si>
  <si>
    <t>Lydia Sigourney : Critical Essays and Cultural Views</t>
  </si>
  <si>
    <t>https://ebookcentral.proquest.com/lib/cam/detail.action?docID=5599578</t>
  </si>
  <si>
    <t>Jihad and Death : The Global Appeal of the Islamic State</t>
  </si>
  <si>
    <t>C. Hurst and Company (Publishers) Ltd.</t>
  </si>
  <si>
    <t>HV6433.F7 .R69 2017</t>
  </si>
  <si>
    <t>https://ebookcentral.proquest.com/lib/cam/detail.action?docID=5501033</t>
  </si>
  <si>
    <t>Relocating Identities in Latin American Cultures</t>
  </si>
  <si>
    <t>University of Calgary</t>
  </si>
  <si>
    <t>860.9/358098</t>
  </si>
  <si>
    <t>PQ7081.A1 -- R316 2007eb</t>
  </si>
  <si>
    <t>https://ebookcentral.proquest.com/lib/cam/detail.action?docID=3251116</t>
  </si>
  <si>
    <t>Urban Renewal, Community and Participation : Theory, Policy and Practice</t>
  </si>
  <si>
    <t>Social Science; Geography/Travel</t>
  </si>
  <si>
    <t>https://ebookcentral.proquest.com/lib/cam/detail.action?docID=5379753</t>
  </si>
  <si>
    <t>Lobbying and Policy Change : Who Wins, Who Loses, and Why</t>
  </si>
  <si>
    <t>JK1118</t>
  </si>
  <si>
    <t>https://ebookcentral.proquest.com/lib/cam/detail.action?docID=471787</t>
  </si>
  <si>
    <t>Positive Images : Gay Men and HIV/AIDS in the Culture of 'Post Crisis'</t>
  </si>
  <si>
    <t>P96.H632 .K343 2018</t>
  </si>
  <si>
    <t>https://ebookcentral.proquest.com/lib/cam/detail.action?docID=5798166</t>
  </si>
  <si>
    <t>Cartesian Rationalism : Understanding Descartes</t>
  </si>
  <si>
    <t>B1875 -- .D76 2015eb</t>
  </si>
  <si>
    <t>https://ebookcentral.proquest.com/lib/cam/detail.action?docID=3565003</t>
  </si>
  <si>
    <t>A Byzantine Monastic Office, A. D. 1105</t>
  </si>
  <si>
    <t>BX4711</t>
  </si>
  <si>
    <t>https://ebookcentral.proquest.com/lib/cam/detail.action?docID=4675457</t>
  </si>
  <si>
    <t>Ambrosiaster's Commentary on the Pauline Epistles : Romans</t>
  </si>
  <si>
    <t>227.107 23</t>
  </si>
  <si>
    <t>https://ebookcentral.proquest.com/lib/cam/detail.action?docID=5118017</t>
  </si>
  <si>
    <t>French Arthurian Literature IV: Eleven Old French Narrative Lays</t>
  </si>
  <si>
    <t>PQ1317.F74 2007</t>
  </si>
  <si>
    <t>https://ebookcentral.proquest.com/lib/cam/detail.action?docID=1068990</t>
  </si>
  <si>
    <t>Defeat Is the Only Bad News : Rwanda under Musinga, 1897-1931</t>
  </si>
  <si>
    <t>967.571/02</t>
  </si>
  <si>
    <t>DT450</t>
  </si>
  <si>
    <t>https://ebookcentral.proquest.com/lib/cam/detail.action?docID=3445154</t>
  </si>
  <si>
    <t>Fateful Triangle : How China Shaped U.S.-India Relations During the Cold War</t>
  </si>
  <si>
    <t>https://ebookcentral.proquest.com/lib/cam/detail.action?docID=5651808</t>
  </si>
  <si>
    <t>The Rhetoric of Faith : Irenaeus and the Structure of the Adversus Haereses</t>
  </si>
  <si>
    <t>BR65.I63 .A37 2019</t>
  </si>
  <si>
    <t>https://ebookcentral.proquest.com/lib/cam/detail.action?docID=5928928</t>
  </si>
  <si>
    <t>Responding to Loss : Heideggerian Reflections on Literature, Architecture, and Film</t>
  </si>
  <si>
    <t>NX458 -- .M84 2015eb</t>
  </si>
  <si>
    <t>https://ebookcentral.proquest.com/lib/cam/detail.action?docID=3239932</t>
  </si>
  <si>
    <t>Cashing In on Cyberpower : How Interdependent Actors Seek Economic Outcomes in a Digital World</t>
  </si>
  <si>
    <t>Social Science; Military Science</t>
  </si>
  <si>
    <t>364.16/8</t>
  </si>
  <si>
    <t>U167.5.C92 .P484 2018</t>
  </si>
  <si>
    <t>https://ebookcentral.proquest.com/lib/cam/detail.action?docID=5326726</t>
  </si>
  <si>
    <t>Books and Readers in the Premodern World : Essays in Honor of Harry Gamble</t>
  </si>
  <si>
    <t>BL71</t>
  </si>
  <si>
    <t>https://ebookcentral.proquest.com/lib/cam/detail.action?docID=5553401</t>
  </si>
  <si>
    <t>Household Horror : Cinematic Fear and the Secret Life of Everyday Objects</t>
  </si>
  <si>
    <t>https://ebookcentral.proquest.com/lib/cam/detail.action?docID=6119368</t>
  </si>
  <si>
    <t>Doing Women's Film History : Reframing Cinemas, Past and Future</t>
  </si>
  <si>
    <t>791.43/652042</t>
  </si>
  <si>
    <t>https://ebookcentral.proquest.com/lib/cam/detail.action?docID=4306048</t>
  </si>
  <si>
    <t>The First Urban Churches 5 : Colossae, Hierapolis, and Laodicea</t>
  </si>
  <si>
    <t>BV637</t>
  </si>
  <si>
    <t>https://ebookcentral.proquest.com/lib/cam/detail.action?docID=5975710</t>
  </si>
  <si>
    <t>Jesus and the God of Israel : God Crucified and Other Essays on the New Testament's Christology of Divine Identity</t>
  </si>
  <si>
    <t>Authentic Media</t>
  </si>
  <si>
    <t>BT216.3 -- .B383 2008eb</t>
  </si>
  <si>
    <t>https://ebookcentral.proquest.com/lib/cam/detail.action?docID=3116672</t>
  </si>
  <si>
    <t>Computational and Visualization Techniques for Structural Bioinformatics Using Chimera</t>
  </si>
  <si>
    <t>CRC Press LLC</t>
  </si>
  <si>
    <t>Science; Science: Biology/Natural History</t>
  </si>
  <si>
    <t>572/.330285</t>
  </si>
  <si>
    <t>QH324.2</t>
  </si>
  <si>
    <t>https://ebookcentral.proquest.com/lib/cam/detail.action?docID=1498671</t>
  </si>
  <si>
    <t>Healing and Exorcism in Second Temple Judaism and Early Christianity</t>
  </si>
  <si>
    <t>BT366 .H435 2019</t>
  </si>
  <si>
    <t>https://ebookcentral.proquest.com/lib/cam/detail.action?docID=6028421</t>
  </si>
  <si>
    <t>Studies in the History of the Greek Text of the Apocalypse : The Ancient Stems</t>
  </si>
  <si>
    <t>228/.0486</t>
  </si>
  <si>
    <t>BS2825</t>
  </si>
  <si>
    <t>https://ebookcentral.proquest.com/lib/cam/detail.action?docID=5482893</t>
  </si>
  <si>
    <t>Reading the Bible in Ancient Traditions and Modern Editions : Studies in Memory of Peter W. Flint</t>
  </si>
  <si>
    <t>BS511</t>
  </si>
  <si>
    <t>https://ebookcentral.proquest.com/lib/cam/detail.action?docID=5123418</t>
  </si>
  <si>
    <t>Bourgeois Dignity : Why Economics Can't Explain the Modern World</t>
  </si>
  <si>
    <t>HC51</t>
  </si>
  <si>
    <t>https://ebookcentral.proquest.com/lib/cam/detail.action?docID=616048</t>
  </si>
  <si>
    <t>Messy Europe : Crisis, Race, and Nation-State in a Postcolonial World</t>
  </si>
  <si>
    <t>D1056 .M47 2018</t>
  </si>
  <si>
    <t>https://ebookcentral.proquest.com/lib/cam/detail.action?docID=5294960</t>
  </si>
  <si>
    <t>Dreams Made Small : The Education of Papuan Highlanders in Indonesia</t>
  </si>
  <si>
    <t>DU744.35.D32 M86 201</t>
  </si>
  <si>
    <t>https://ebookcentral.proquest.com/lib/cam/detail.action?docID=5405451</t>
  </si>
  <si>
    <t>Vc : An American History</t>
  </si>
  <si>
    <t>332/.041540973</t>
  </si>
  <si>
    <t>HG4751</t>
  </si>
  <si>
    <t>https://ebookcentral.proquest.com/lib/cam/detail.action?docID=5763513</t>
  </si>
  <si>
    <t>Prison Pedagogies : Learning and Teaching with Imprisoned Writers</t>
  </si>
  <si>
    <t>808/.042071</t>
  </si>
  <si>
    <t>HV8875.P75 2018</t>
  </si>
  <si>
    <t>https://ebookcentral.proquest.com/lib/cam/detail.action?docID=5489320</t>
  </si>
  <si>
    <t>Black Box Classical Groups</t>
  </si>
  <si>
    <t>510 s;512/.2</t>
  </si>
  <si>
    <t>QA175 -- .K36 2001eb</t>
  </si>
  <si>
    <t>https://ebookcentral.proquest.com/lib/cam/detail.action?docID=3114468</t>
  </si>
  <si>
    <t>The Finger of God : Enoch Mgijima, the Israelites, and the Bulhoek Massacre in South Africa</t>
  </si>
  <si>
    <t>BR1450 .E34 2018</t>
  </si>
  <si>
    <t>https://ebookcentral.proquest.com/lib/cam/detail.action?docID=5447696</t>
  </si>
  <si>
    <t>Otherwise than Being or Beyond Essence</t>
  </si>
  <si>
    <t>B105.E65 .L485 1991</t>
  </si>
  <si>
    <t>https://ebookcentral.proquest.com/lib/cam/detail.action?docID=3568562</t>
  </si>
  <si>
    <t>Putin's Counterrevolution</t>
  </si>
  <si>
    <t>DK510.766.P87 .A445 2018</t>
  </si>
  <si>
    <t>https://ebookcentral.proquest.com/lib/cam/detail.action?docID=5180001</t>
  </si>
  <si>
    <t>Religious Journeys in India : Pilgrims, Tourists, and Travelers</t>
  </si>
  <si>
    <t>203/.50954</t>
  </si>
  <si>
    <t>BL2015.P45R45 2017</t>
  </si>
  <si>
    <t>https://ebookcentral.proquest.com/lib/cam/detail.action?docID=5495703</t>
  </si>
  <si>
    <t>RuPaul's Drag Race and the Shifting Visibility of Drag Culture : The Boundaries of Reality TV</t>
  </si>
  <si>
    <t>https://ebookcentral.proquest.com/lib/cam/detail.action?docID=4987246</t>
  </si>
  <si>
    <t>Reframing Russian Modernism</t>
  </si>
  <si>
    <t>891.709/112</t>
  </si>
  <si>
    <t>PG3020</t>
  </si>
  <si>
    <t>https://ebookcentral.proquest.com/lib/cam/detail.action?docID=5583668</t>
  </si>
  <si>
    <t>Brains Confounded by the Ode of Abū Shādūf Expounded : Volume Two</t>
  </si>
  <si>
    <t>HN786.A8 -- .S557 2016eb</t>
  </si>
  <si>
    <t>https://ebookcentral.proquest.com/lib/cam/detail.action?docID=4045280</t>
  </si>
  <si>
    <t>Mediterranean Quarantines, 1750-1914 : Space, Identity and Power</t>
  </si>
  <si>
    <t>Manchester University Press</t>
  </si>
  <si>
    <t>Medicine; Health; Social Science</t>
  </si>
  <si>
    <t>RA661 .C457 2018</t>
  </si>
  <si>
    <t>https://ebookcentral.proquest.com/lib/cam/detail.action?docID=5352692</t>
  </si>
  <si>
    <t>Orientalism, Empire, and National Culture : India, 1770-1880</t>
  </si>
  <si>
    <t>https://ebookcentral.proquest.com/lib/cam/detail.action?docID=735952</t>
  </si>
  <si>
    <t>It's True, It's True, It's True</t>
  </si>
  <si>
    <t>Fiction</t>
  </si>
  <si>
    <t>https://ebookcentral.proquest.com/lib/cam/detail.action?docID=5600146</t>
  </si>
  <si>
    <t>Siblings : Sex and Violence</t>
  </si>
  <si>
    <t>155.44/3</t>
  </si>
  <si>
    <t>BF723.S43 -- .M583 2008eb</t>
  </si>
  <si>
    <t>https://ebookcentral.proquest.com/lib/cam/detail.action?docID=1295003</t>
  </si>
  <si>
    <t>Stubborn Structures : Reconceptualizing Postcommunist Regimes</t>
  </si>
  <si>
    <t>JN96.A58 .S783 2019</t>
  </si>
  <si>
    <t>https://ebookcentral.proquest.com/lib/cam/detail.action?docID=5778068</t>
  </si>
  <si>
    <t>Global Clay : Themes in World Ceramic Traditions</t>
  </si>
  <si>
    <t>NK3785.B877 2017</t>
  </si>
  <si>
    <t>https://ebookcentral.proquest.com/lib/cam/detail.action?docID=4987844</t>
  </si>
  <si>
    <t>Mathematical Practitioners and the Transformation of Natural Knowledge in Early Modern Europe</t>
  </si>
  <si>
    <t>Mathematics; History</t>
  </si>
  <si>
    <t>https://ebookcentral.proquest.com/lib/cam/detail.action?docID=4822965</t>
  </si>
  <si>
    <t>Ossianic Unconformities : Bardic Poetry in the Industrial Age</t>
  </si>
  <si>
    <t>821/.6</t>
  </si>
  <si>
    <t>PR3544 -- .G54 2015eb</t>
  </si>
  <si>
    <t>https://ebookcentral.proquest.com/lib/cam/detail.action?docID=3444223</t>
  </si>
  <si>
    <t>Introducing Asian Feminist Theology</t>
  </si>
  <si>
    <t>BT83.55 -- .P85 2000eb</t>
  </si>
  <si>
    <t>https://ebookcentral.proquest.com/lib/cam/detail.action?docID=743075</t>
  </si>
  <si>
    <t>The Iranian Revolution at Forty</t>
  </si>
  <si>
    <t>BP80.S517 .I736 2020</t>
  </si>
  <si>
    <t>https://ebookcentral.proquest.com/lib/cam/detail.action?docID=5820052</t>
  </si>
  <si>
    <t>The Museum of Mankind : Man and Boy in the British Museum Ethnography Department</t>
  </si>
  <si>
    <t>GN36.G72 L638 2019</t>
  </si>
  <si>
    <t>https://ebookcentral.proquest.com/lib/cam/detail.action?docID=5794302</t>
  </si>
  <si>
    <t>Empress Adelheid and Countess Matilda : Medieval Female Rulership and the Foundations of European Society</t>
  </si>
  <si>
    <t>https://ebookcentral.proquest.com/lib/cam/detail.action?docID=4809929</t>
  </si>
  <si>
    <t>Growing Artefacts, Displaying Relationships : Yams, Art and Technology Amongst the Nyamikum Abelam of Papua New Guinea</t>
  </si>
  <si>
    <t>305.89/912</t>
  </si>
  <si>
    <t>DU740.42 .C68 2012</t>
  </si>
  <si>
    <t>https://ebookcentral.proquest.com/lib/cam/detail.action?docID=1341888</t>
  </si>
  <si>
    <t>Emotions, Media and Politics</t>
  </si>
  <si>
    <t>302.2301/9</t>
  </si>
  <si>
    <t>P95.8 .W345 2019</t>
  </si>
  <si>
    <t>https://ebookcentral.proquest.com/lib/cam/detail.action?docID=5638725</t>
  </si>
  <si>
    <t>Limit Theorems for Stochastic Processes</t>
  </si>
  <si>
    <t>519.2/87</t>
  </si>
  <si>
    <t>https://ebookcentral.proquest.com/lib/cam/detail.action?docID=3100707</t>
  </si>
  <si>
    <t>Making Plans : How to Engage with Landscape, Design, and the Urban Environment</t>
  </si>
  <si>
    <t>HT166 .S745 2018</t>
  </si>
  <si>
    <t>https://ebookcentral.proquest.com/lib/cam/detail.action?docID=5181667</t>
  </si>
  <si>
    <t>Black Freethinkers : A History of African American Secularism</t>
  </si>
  <si>
    <t>BL2747</t>
  </si>
  <si>
    <t>https://ebookcentral.proquest.com/lib/cam/detail.action?docID=5826419</t>
  </si>
  <si>
    <t>Arrangements of Hyperplanes</t>
  </si>
  <si>
    <t>516/.13</t>
  </si>
  <si>
    <t>QA167.O75 1992</t>
  </si>
  <si>
    <t>https://ebookcentral.proquest.com/lib/cam/detail.action?docID=3097382</t>
  </si>
  <si>
    <t>Atlantic Environments and the American South</t>
  </si>
  <si>
    <t>Environmental Studies; History</t>
  </si>
  <si>
    <t>https://ebookcentral.proquest.com/lib/cam/detail.action?docID=6126849</t>
  </si>
  <si>
    <t>The Genesis of Mass Culture : Show Business Live in America, 1840 To 1940</t>
  </si>
  <si>
    <t>https://ebookcentral.proquest.com/lib/cam/detail.action?docID=416889</t>
  </si>
  <si>
    <t>The Interpersonal Idiom in Shakespeare, Donne, and Early Modern Culture</t>
  </si>
  <si>
    <t>https://ebookcentral.proquest.com/lib/cam/detail.action?docID=433603</t>
  </si>
  <si>
    <t>From Jack Johnson to LeBron James : Sports, Media, and the Color Line</t>
  </si>
  <si>
    <t>Sport &amp;amp; Recreation; Journalism</t>
  </si>
  <si>
    <t>GV742.F76 2016</t>
  </si>
  <si>
    <t>https://ebookcentral.proquest.com/lib/cam/detail.action?docID=4097308</t>
  </si>
  <si>
    <t>Beauty Diplomacy : Embodying an Emerging Nation</t>
  </si>
  <si>
    <t>https://ebookcentral.proquest.com/lib/cam/detail.action?docID=5994473</t>
  </si>
  <si>
    <t>Poetry and Vision in Early Modern England</t>
  </si>
  <si>
    <t>https://ebookcentral.proquest.com/lib/cam/detail.action?docID=5345515</t>
  </si>
  <si>
    <t>Sennacherib, King of Assyria</t>
  </si>
  <si>
    <t>935/.03092</t>
  </si>
  <si>
    <t>DS73</t>
  </si>
  <si>
    <t>https://ebookcentral.proquest.com/lib/cam/detail.action?docID=5512456</t>
  </si>
  <si>
    <t>Sefer Moshe : The Moshe Weinfeld Jubilee Volume: Studies in the Bible and the Ancient near East, Qumran, and Post:Biblical Judaism</t>
  </si>
  <si>
    <t>Pennsylvania State University Press</t>
  </si>
  <si>
    <t>BS1171.3 -- .S44 2004eb</t>
  </si>
  <si>
    <t>https://ebookcentral.proquest.com/lib/cam/detail.action?docID=3155482</t>
  </si>
  <si>
    <t>What Would Animals Say If We Asked the Right Questions?</t>
  </si>
  <si>
    <t>Science; Science: Zoology</t>
  </si>
  <si>
    <t>QL751 -- .D477 2016eb</t>
  </si>
  <si>
    <t>https://ebookcentral.proquest.com/lib/cam/detail.action?docID=4392047</t>
  </si>
  <si>
    <t>The Palgrave Handbook of Affect Studies and Textual Criticism</t>
  </si>
  <si>
    <t>https://ebookcentral.proquest.com/lib/cam/detail.action?docID=5178331</t>
  </si>
  <si>
    <t>Strategic Communication Theory and Practice : The Cocreational Model</t>
  </si>
  <si>
    <t>John Wiley &amp; Sons, Incorporated</t>
  </si>
  <si>
    <t>Social Science; Business/Management</t>
  </si>
  <si>
    <t>HD30.3.B675 2018</t>
  </si>
  <si>
    <t>https://ebookcentral.proquest.com/lib/cam/detail.action?docID=5098732</t>
  </si>
  <si>
    <t>Ecological Entanglements in the Anthropocene : Working with Nature</t>
  </si>
  <si>
    <t>Science; Environmental Studies; Science: Biology/Natural History</t>
  </si>
  <si>
    <t>GF21.E265 2017</t>
  </si>
  <si>
    <t>https://ebookcentral.proquest.com/lib/cam/detail.action?docID=4751328</t>
  </si>
  <si>
    <t>Wellbeing at Work : How to Design, Implement and Evaluate an Effective Strategy</t>
  </si>
  <si>
    <t>Kogan Page, Limited</t>
  </si>
  <si>
    <t>HF5548.85 .H475 2019</t>
  </si>
  <si>
    <t>https://ebookcentral.proquest.com/lib/cam/detail.action?docID=5741923</t>
  </si>
  <si>
    <t>Positive Polynomials : From Hilbert's 17th Problem to Real Algebra</t>
  </si>
  <si>
    <t>https://ebookcentral.proquest.com/lib/cam/detail.action?docID=3098266</t>
  </si>
  <si>
    <t>Algebraic Geometry</t>
  </si>
  <si>
    <t>516/.35</t>
  </si>
  <si>
    <t>QA564.H25 1977</t>
  </si>
  <si>
    <t>https://ebookcentral.proquest.com/lib/cam/detail.action?docID=3085462</t>
  </si>
  <si>
    <t>Engaging the Past : Mass Culture and the Production of Historical Knowledge</t>
  </si>
  <si>
    <t>Social Science; Fine Arts</t>
  </si>
  <si>
    <t>PN1995.2 .L35 2015</t>
  </si>
  <si>
    <t>https://ebookcentral.proquest.com/lib/cam/detail.action?docID=1974581</t>
  </si>
  <si>
    <t>Kenya's War of Independence : Mau Mau and Its Legacy of Resistance to Colonialism and Imperialism, 1948-1990</t>
  </si>
  <si>
    <t>DT433.577 .D87 2018</t>
  </si>
  <si>
    <t>https://ebookcentral.proquest.com/lib/cam/detail.action?docID=5336387</t>
  </si>
  <si>
    <t>Spirit and Sacrament : An Invitation to Eucharismatic Worship</t>
  </si>
  <si>
    <t>Zondervan</t>
  </si>
  <si>
    <t>BV4817 .W557 2018</t>
  </si>
  <si>
    <t>https://ebookcentral.proquest.com/lib/cam/detail.action?docID=5702716</t>
  </si>
  <si>
    <t>The Formation of Latin American Nations : From Late Antiquity to Early Modernity</t>
  </si>
  <si>
    <t>F1411 .W373 2018</t>
  </si>
  <si>
    <t>https://ebookcentral.proquest.com/lib/cam/detail.action?docID=5558374</t>
  </si>
  <si>
    <t>Thinking Nature and the Nature of Thinking : From Eriugena to Emerson</t>
  </si>
  <si>
    <t>https://ebookcentral.proquest.com/lib/cam/detail.action?docID=6129694</t>
  </si>
  <si>
    <t>Extremal Graph Theory</t>
  </si>
  <si>
    <t>QA166.B66</t>
  </si>
  <si>
    <t>https://ebookcentral.proquest.com/lib/cam/detail.action?docID=1897404</t>
  </si>
  <si>
    <t>Love of Wisdom : An Introduction to Philosophy for Theologians</t>
  </si>
  <si>
    <t>Hymns Ancient &amp; Modern Ltd</t>
  </si>
  <si>
    <t>B72 -- .D385 2013eb</t>
  </si>
  <si>
    <t>https://ebookcentral.proquest.com/lib/cam/detail.action?docID=3306197</t>
  </si>
  <si>
    <t>In the Year of the Tiger : The War for Cochinchina, 1945-1951</t>
  </si>
  <si>
    <t>DS553.1 .W333 2018</t>
  </si>
  <si>
    <t>https://ebookcentral.proquest.com/lib/cam/detail.action?docID=5485216</t>
  </si>
  <si>
    <t>The Tragic Imagination : The Literary Agenda</t>
  </si>
  <si>
    <t>Fine Arts; Literature</t>
  </si>
  <si>
    <t>PN1892.W555 2016</t>
  </si>
  <si>
    <t>https://ebookcentral.proquest.com/lib/cam/detail.action?docID=4706553</t>
  </si>
  <si>
    <t>Hui Muslims in China</t>
  </si>
  <si>
    <t>BP63.C5.H85 2016</t>
  </si>
  <si>
    <t>https://ebookcentral.proquest.com/lib/cam/detail.action?docID=4777072</t>
  </si>
  <si>
    <t>Sacrifice, Cult, and Atonement in Early Judaism and Christianity : Constituents and Critique</t>
  </si>
  <si>
    <t>296.4/92</t>
  </si>
  <si>
    <t>BM715</t>
  </si>
  <si>
    <t>https://ebookcentral.proquest.com/lib/cam/detail.action?docID=5045629</t>
  </si>
  <si>
    <t>Defining Girlhood in India : A Transnational History of Sexual Maturity Laws</t>
  </si>
  <si>
    <t>HQ799</t>
  </si>
  <si>
    <t>https://ebookcentral.proquest.com/lib/cam/detail.action?docID=5978100</t>
  </si>
  <si>
    <t>On Gender, Labor, and Inequality : 36 Mormon Women Talk Candidly about Love, Sex, and Marriage</t>
  </si>
  <si>
    <t>HQ1237</t>
  </si>
  <si>
    <t>https://ebookcentral.proquest.com/lib/cam/detail.action?docID=4443569</t>
  </si>
  <si>
    <t>Environmental Contaminants : Using Natural Archives to Track Sources and Long-Term Trends of Pollution</t>
  </si>
  <si>
    <t>Environmental Studies</t>
  </si>
  <si>
    <t>GE1-350</t>
  </si>
  <si>
    <t>https://ebookcentral.proquest.com/lib/cam/detail.action?docID=2096840</t>
  </si>
  <si>
    <t>The American Synthetic Organic Chemicals Industry : War and Politics, 1910-1930</t>
  </si>
  <si>
    <t>HD9651.5 -- .S73 2014eb</t>
  </si>
  <si>
    <t>https://ebookcentral.proquest.com/lib/cam/detail.action?docID=1731664</t>
  </si>
  <si>
    <t>Gilded Youth : Privilege, Rebellion and the British Public School</t>
  </si>
  <si>
    <t>373.22/20941</t>
  </si>
  <si>
    <t>LA631</t>
  </si>
  <si>
    <t>https://ebookcentral.proquest.com/lib/cam/detail.action?docID=5725232</t>
  </si>
  <si>
    <t>Bureaucratic Politics and Foreign Policy</t>
  </si>
  <si>
    <t>JZ1480 -- .H35 2006eb</t>
  </si>
  <si>
    <t>https://ebookcentral.proquest.com/lib/cam/detail.action?docID=275774</t>
  </si>
  <si>
    <t>Narratives of Exile and Identity : Soviet Deportation Memoirs from the Baltic States</t>
  </si>
  <si>
    <t>https://ebookcentral.proquest.com/lib/cam/detail.action?docID=5489448</t>
  </si>
  <si>
    <t>Little Man, Little Man : A Story of Childhood</t>
  </si>
  <si>
    <t>Duke University Press</t>
  </si>
  <si>
    <t>https://ebookcentral.proquest.com/lib/cam/detail.action?docID=5497737</t>
  </si>
  <si>
    <t>Maoist Laughter</t>
  </si>
  <si>
    <t>https://ebookcentral.proquest.com/lib/cam/detail.action?docID=5977195</t>
  </si>
  <si>
    <t>Environments of Empire : Networks and Agents of Ecological Change</t>
  </si>
  <si>
    <t>Environmental Studies; History; Social Science</t>
  </si>
  <si>
    <t>https://ebookcentral.proquest.com/lib/cam/detail.action?docID=6109535</t>
  </si>
  <si>
    <t>The Cruft of Fiction : Mega-Novels and the Science of Paying Attention</t>
  </si>
  <si>
    <t>PN3352.P7</t>
  </si>
  <si>
    <t>https://ebookcentral.proquest.com/lib/cam/detail.action?docID=4845695</t>
  </si>
  <si>
    <t>Gulag Literature and the Literature of Nazi Camps : An Intercontexual Reading</t>
  </si>
  <si>
    <t>PN56.C663 .T654 2019</t>
  </si>
  <si>
    <t>https://ebookcentral.proquest.com/lib/cam/detail.action?docID=5894415</t>
  </si>
  <si>
    <t>Women of the Gulag : Portraits of Five Remarkable Lives</t>
  </si>
  <si>
    <t>Hoover Institution Press</t>
  </si>
  <si>
    <t>365/.45092520947</t>
  </si>
  <si>
    <t>DK268.A1 -- G724 2013eb</t>
  </si>
  <si>
    <t>https://ebookcentral.proquest.com/lib/cam/detail.action?docID=3301918</t>
  </si>
  <si>
    <t>Daring to Be Bad : Radical Feminism in America 1967-1975, Thirtieth Anniversary Edition</t>
  </si>
  <si>
    <t>HQ1236.5.U6 .E246 2019</t>
  </si>
  <si>
    <t>https://ebookcentral.proquest.com/lib/cam/detail.action?docID=5928248</t>
  </si>
  <si>
    <t>Hölderlin's Hymn Remembrance</t>
  </si>
  <si>
    <t>PT2359.H2 .H453 2018</t>
  </si>
  <si>
    <t>https://ebookcentral.proquest.com/lib/cam/detail.action?docID=5532064</t>
  </si>
  <si>
    <t>Jesuits and Matriarchs : Domestic Worship in Early Modern China</t>
  </si>
  <si>
    <t>BV3417 .A475 2018</t>
  </si>
  <si>
    <t>https://ebookcentral.proquest.com/lib/cam/detail.action?docID=5626853</t>
  </si>
  <si>
    <t>The Aesthetics of Anthony Burgess : Fire of Words</t>
  </si>
  <si>
    <t>https://ebookcentral.proquest.com/lib/cam/detail.action?docID=5115989</t>
  </si>
  <si>
    <t>Descended from Hercules : Biopolitics and the Muscled Male Body on Screen</t>
  </si>
  <si>
    <t>PN1995.9.M34.R87 2016</t>
  </si>
  <si>
    <t>https://ebookcentral.proquest.com/lib/cam/detail.action?docID=4709299</t>
  </si>
  <si>
    <t>Anti-Zionism and Antisemitism : The Dynamics of Delegitimization</t>
  </si>
  <si>
    <t>DS149.A7518 2018</t>
  </si>
  <si>
    <t>https://ebookcentral.proquest.com/lib/cam/detail.action?docID=5652170</t>
  </si>
  <si>
    <t>An Aesthetics of Injury : The Narrative Wound from Baudelaire to Tarantino</t>
  </si>
  <si>
    <t>PQ673</t>
  </si>
  <si>
    <t>https://ebookcentral.proquest.com/lib/cam/detail.action?docID=5252851</t>
  </si>
  <si>
    <t>Announcements : On Novelty</t>
  </si>
  <si>
    <t>Philosophy; General Works/Reference</t>
  </si>
  <si>
    <t>B105.N4 .M463 2020</t>
  </si>
  <si>
    <t>https://ebookcentral.proquest.com/lib/cam/detail.action?docID=6021080</t>
  </si>
  <si>
    <t>Augustine in His Own Words</t>
  </si>
  <si>
    <t>https://ebookcentral.proquest.com/lib/cam/detail.action?docID=3135106</t>
  </si>
  <si>
    <t>Daughter of the Cold War : A Memoir</t>
  </si>
  <si>
    <t>CT275</t>
  </si>
  <si>
    <t>https://ebookcentral.proquest.com/lib/cam/detail.action?docID=5344316</t>
  </si>
  <si>
    <t>Reproductive Restraints : Birth Control in India, 1877-1947</t>
  </si>
  <si>
    <t>304.6/66095409034</t>
  </si>
  <si>
    <t>HQ766</t>
  </si>
  <si>
    <t>https://ebookcentral.proquest.com/lib/cam/detail.action?docID=3414054</t>
  </si>
  <si>
    <t>The Last Opera : The Rake's Progress in the Life of Stravinsky and Sung Drama</t>
  </si>
  <si>
    <t>https://ebookcentral.proquest.com/lib/cam/detail.action?docID=5772486</t>
  </si>
  <si>
    <t>The Whole Machinery : The Rural Modern in Cultures of the U. S. South, 1890-1946</t>
  </si>
  <si>
    <t>PS261 .C455 2019</t>
  </si>
  <si>
    <t>https://ebookcentral.proquest.com/lib/cam/detail.action?docID=5973849</t>
  </si>
  <si>
    <t>Calypso Magnolia : The Crosscurrents of Caribbean and Southern Literature</t>
  </si>
  <si>
    <t>810.9/975</t>
  </si>
  <si>
    <t>PS261.L75 2016</t>
  </si>
  <si>
    <t>https://ebookcentral.proquest.com/lib/cam/detail.action?docID=4443604</t>
  </si>
  <si>
    <t>We Are Not Slaves : State Violence, Coerced Labor, and Prisoners' Rights in Postwar America</t>
  </si>
  <si>
    <t>HV9475.T4 .C437 2020</t>
  </si>
  <si>
    <t>https://ebookcentral.proquest.com/lib/cam/detail.action?docID=5982961</t>
  </si>
  <si>
    <t>Resurgent Antisemitism : Global Perspectives</t>
  </si>
  <si>
    <t>DS145 -- .R47 2013eb</t>
  </si>
  <si>
    <t>https://ebookcentral.proquest.com/lib/cam/detail.action?docID=1204011</t>
  </si>
  <si>
    <t>Current Perspectives on the Archaeology of African Slavery in Latin America</t>
  </si>
  <si>
    <t>https://ebookcentral.proquest.com/lib/cam/detail.action?docID=1966868</t>
  </si>
  <si>
    <t>The Legacy of Edward W. Said</t>
  </si>
  <si>
    <t>973.91092 B</t>
  </si>
  <si>
    <t>CB18</t>
  </si>
  <si>
    <t>https://ebookcentral.proquest.com/lib/cam/detail.action?docID=3414034</t>
  </si>
  <si>
    <t>Framing Fan Fiction : Literary and Social Practices in Fan Fiction Communities</t>
  </si>
  <si>
    <t>PN3377</t>
  </si>
  <si>
    <t>https://ebookcentral.proquest.com/lib/cam/detail.action?docID=4943897</t>
  </si>
  <si>
    <t>Jacques Lacan, Past and Present : A Dialogue</t>
  </si>
  <si>
    <t>BF109.L28 -- .B3413 2014eb</t>
  </si>
  <si>
    <t>https://ebookcentral.proquest.com/lib/cam/detail.action?docID=1634823</t>
  </si>
  <si>
    <t>Equatorial Guinean Literature in Its National and Transnational Contexts</t>
  </si>
  <si>
    <t>PQ3988.5.G82.L495 2017</t>
  </si>
  <si>
    <t>https://ebookcentral.proquest.com/lib/cam/detail.action?docID=4838348</t>
  </si>
  <si>
    <t>The Last Century in the History of Judah : The Seventh Century BCE in Archaeological, Historical, and Biblical Perspectives</t>
  </si>
  <si>
    <t>DS110</t>
  </si>
  <si>
    <t>https://ebookcentral.proquest.com/lib/cam/detail.action?docID=5965828</t>
  </si>
  <si>
    <t>Aesthetic Reason and Imaginative Freedom : Friedrich Schiller and Philosophy</t>
  </si>
  <si>
    <t>B3086.S34 .A378 2018</t>
  </si>
  <si>
    <t>https://ebookcentral.proquest.com/lib/cam/detail.action?docID=5541177</t>
  </si>
  <si>
    <t>Alternative Globalizations : Eastern Europe and the Postcolonial World</t>
  </si>
  <si>
    <t>https://ebookcentral.proquest.com/lib/cam/detail.action?docID=6119374</t>
  </si>
  <si>
    <t>Water Graves : The Art of the Unritual in the Greater Caribbean</t>
  </si>
  <si>
    <t>N6591 .L653 2020</t>
  </si>
  <si>
    <t>https://ebookcentral.proquest.com/lib/cam/detail.action?docID=6026483</t>
  </si>
  <si>
    <t>Wageless Life : A Manifesto for a Future Beyond Capitalism</t>
  </si>
  <si>
    <t>Political Science; Social Science; Economics</t>
  </si>
  <si>
    <t>https://ebookcentral.proquest.com/lib/cam/detail.action?docID=6108966</t>
  </si>
  <si>
    <t>Drawn to See : Drawing as an Ethnographic Method</t>
  </si>
  <si>
    <t>GN33.C387 2017</t>
  </si>
  <si>
    <t>https://ebookcentral.proquest.com/lib/cam/detail.action?docID=4931389</t>
  </si>
  <si>
    <t>Peoples of the Inland Sea : Native Americans and Newcomers in the Great Lakes Region, 1600-1870</t>
  </si>
  <si>
    <t>E78.G7 .N53 2018</t>
  </si>
  <si>
    <t>https://ebookcentral.proquest.com/lib/cam/detail.action?docID=5402065</t>
  </si>
  <si>
    <t>Producers, Parasites, Patriots : Race and the New Right-Wing Politics of Precarity</t>
  </si>
  <si>
    <t>E184.A1 .H673 2019</t>
  </si>
  <si>
    <t>https://ebookcentral.proquest.com/lib/cam/detail.action?docID=5731734</t>
  </si>
  <si>
    <t>Being with the Dead : Burial, Ancestral Politics, and the Roots of Historical Consciousness</t>
  </si>
  <si>
    <t>History; Philosophy</t>
  </si>
  <si>
    <t>https://ebookcentral.proquest.com/lib/cam/detail.action?docID=5607102</t>
  </si>
  <si>
    <t>Personal Religion and Spiritual Healing : The Panacea Society in the Twentieth Century</t>
  </si>
  <si>
    <t>267/.43</t>
  </si>
  <si>
    <t>https://ebookcentral.proquest.com/lib/cam/detail.action?docID=5667605</t>
  </si>
  <si>
    <t>The Secret Life of Stories : From Don Quixote to Harry Potter, How Understanding Intellectual Disability Transforms the Way We Read</t>
  </si>
  <si>
    <t>PN3383.N35B48 2016</t>
  </si>
  <si>
    <t>https://ebookcentral.proquest.com/lib/cam/detail.action?docID=4050768</t>
  </si>
  <si>
    <t>Are You Watching Closely? : Cultural Paranoia, New Technologies, and the Contemporary Hollywood Misdirection Film</t>
  </si>
  <si>
    <t>PN1995.F754 2017</t>
  </si>
  <si>
    <t>https://ebookcentral.proquest.com/lib/cam/detail.action?docID=4983633</t>
  </si>
  <si>
    <t>The Broken Spell : Indian Storytelling and the Romance Genre in Persian and Urdu</t>
  </si>
  <si>
    <t>Literature; Education</t>
  </si>
  <si>
    <t>LB1042 .K436 2019</t>
  </si>
  <si>
    <t>https://ebookcentral.proquest.com/lib/cam/detail.action?docID=5794117</t>
  </si>
  <si>
    <t>Cyclescapes of the Unequal City : Bicycle Infrastructure and Uneven Development</t>
  </si>
  <si>
    <t>HT165.5 .S744 2019</t>
  </si>
  <si>
    <t>https://ebookcentral.proquest.com/lib/cam/detail.action?docID=5886373</t>
  </si>
  <si>
    <t>When Species Meet</t>
  </si>
  <si>
    <t>Philosophy; Science; Science: Zoology</t>
  </si>
  <si>
    <t>179/.3</t>
  </si>
  <si>
    <t>QL85 -- .H37 2008eb</t>
  </si>
  <si>
    <t>https://ebookcentral.proquest.com/lib/cam/detail.action?docID=328400</t>
  </si>
  <si>
    <t>Strategy, Evolution, and War : From Apes to Artificial Intelligence</t>
  </si>
  <si>
    <t>U162 .P39 2018</t>
  </si>
  <si>
    <t>https://ebookcentral.proquest.com/lib/cam/detail.action?docID=5394997</t>
  </si>
  <si>
    <t>A New History of Tanzania</t>
  </si>
  <si>
    <t>DT444 .K563 2017</t>
  </si>
  <si>
    <t>https://ebookcentral.proquest.com/lib/cam/detail.action?docID=5763294</t>
  </si>
  <si>
    <t>The Ancient Egyptian Netherworld Books</t>
  </si>
  <si>
    <t>BL2430</t>
  </si>
  <si>
    <t>https://ebookcentral.proquest.com/lib/cam/detail.action?docID=5561659</t>
  </si>
  <si>
    <t>Dao and Sign in History : Daoist Arche-Semiotics in Ancient and Medieval China</t>
  </si>
  <si>
    <t>181/.114</t>
  </si>
  <si>
    <t>BL1923 .F75 2018</t>
  </si>
  <si>
    <t>https://ebookcentral.proquest.com/lib/cam/detail.action?docID=5571086</t>
  </si>
  <si>
    <t>Internet Addiction : Neuroscientific Approaches and Therapeutical Interventions</t>
  </si>
  <si>
    <t>Engineering: Civil; Medicine; Engineering</t>
  </si>
  <si>
    <t>https://ebookcentral.proquest.com/lib/cam/detail.action?docID=1973933</t>
  </si>
  <si>
    <t>Penn Center : A History Preserved</t>
  </si>
  <si>
    <t>975.7/99</t>
  </si>
  <si>
    <t>F279.P37 -- .B87 2014eb</t>
  </si>
  <si>
    <t>https://ebookcentral.proquest.com/lib/cam/detail.action?docID=1798519</t>
  </si>
  <si>
    <t>The Community Rule : A Critical Edition with Translation</t>
  </si>
  <si>
    <t>BM488</t>
  </si>
  <si>
    <t>https://ebookcentral.proquest.com/lib/cam/detail.action?docID=5979917</t>
  </si>
  <si>
    <t>Assembling Moral Mobilities : Cycling, Cities, and the Common Good</t>
  </si>
  <si>
    <t>https://ebookcentral.proquest.com/lib/cam/detail.action?docID=5994189</t>
  </si>
  <si>
    <t>Feminist, Queer, Crip</t>
  </si>
  <si>
    <t>HV1568.2 -- .K34 2013eb</t>
  </si>
  <si>
    <t>https://ebookcentral.proquest.com/lib/cam/detail.action?docID=1189107</t>
  </si>
  <si>
    <t>China's Global Identity : Considering the Responsibilities of Great Power</t>
  </si>
  <si>
    <t>DS775.8 .H66 2018</t>
  </si>
  <si>
    <t>https://ebookcentral.proquest.com/lib/cam/detail.action?docID=5570702</t>
  </si>
  <si>
    <t>Separation Scenes : Domestic Drama in Early Modern England</t>
  </si>
  <si>
    <t>PR633.C475 2017</t>
  </si>
  <si>
    <t>https://ebookcentral.proquest.com/lib/cam/detail.action?docID=4758075</t>
  </si>
  <si>
    <t>In the Name of the Nation : India and Its Northeast</t>
  </si>
  <si>
    <t>DS483.62 .B378 2020</t>
  </si>
  <si>
    <t>https://ebookcentral.proquest.com/lib/cam/detail.action?docID=5979993</t>
  </si>
  <si>
    <t>American Poets in the 21st Century : The Poetics ofSocial Engagement</t>
  </si>
  <si>
    <t>811/.608</t>
  </si>
  <si>
    <t>PS617 .A447 2018</t>
  </si>
  <si>
    <t>https://ebookcentral.proquest.com/lib/cam/detail.action?docID=5593924</t>
  </si>
  <si>
    <t>What Does the Minimum Wage Do?</t>
  </si>
  <si>
    <t>W.E. Upjohn Institute</t>
  </si>
  <si>
    <t>331.2/30973</t>
  </si>
  <si>
    <t>HD4918 -- .B456 2014eb</t>
  </si>
  <si>
    <t>https://ebookcentral.proquest.com/lib/cam/detail.action?docID=3417278</t>
  </si>
  <si>
    <t>Faith and the Historian : Catholic Perspectives</t>
  </si>
  <si>
    <t>https://ebookcentral.proquest.com/lib/cam/detail.action?docID=3414070</t>
  </si>
  <si>
    <t>The Art of Visual Exegesis : Rhetoric, Texts, Images</t>
  </si>
  <si>
    <t>N8023</t>
  </si>
  <si>
    <t>https://ebookcentral.proquest.com/lib/cam/detail.action?docID=4921487</t>
  </si>
  <si>
    <t>Ressentiment : Reflections on Mimetic Desire and Society</t>
  </si>
  <si>
    <t>MLCS</t>
  </si>
  <si>
    <t>https://ebookcentral.proquest.com/lib/cam/detail.action?docID=3433760</t>
  </si>
  <si>
    <t>The King of Adobe : Reies lópez Tijerina, Lost Prophet of the Chicano Movement</t>
  </si>
  <si>
    <t>E184.M5 .O767 2019</t>
  </si>
  <si>
    <t>https://ebookcentral.proquest.com/lib/cam/detail.action?docID=5850378</t>
  </si>
  <si>
    <t>Vicente Ximenes, LBJ's Great Society, and Mexican American Civil Rights Rhetoric</t>
  </si>
  <si>
    <t>https://ebookcentral.proquest.com/lib/cam/detail.action?docID=5215433</t>
  </si>
  <si>
    <t>Fighting Their Own Battles : Mexican Americans, African Americans, and the Struggle for Civil Rights in Texas</t>
  </si>
  <si>
    <t>F395.M5 -- .B446 2011eb</t>
  </si>
  <si>
    <t>https://ebookcentral.proquest.com/lib/cam/detail.action?docID=4322007</t>
  </si>
  <si>
    <t>Recipes for Respect : African American Meals and Meaning</t>
  </si>
  <si>
    <t>Home Economics; History</t>
  </si>
  <si>
    <t>641.59/296073</t>
  </si>
  <si>
    <t>E185.89.F66 .Z343 2019</t>
  </si>
  <si>
    <t>https://ebookcentral.proquest.com/lib/cam/detail.action?docID=5718948</t>
  </si>
  <si>
    <t>Logoi and Muthoi : Further Essays in Greek Philosophy and Literature</t>
  </si>
  <si>
    <t>B171 .L646 2019</t>
  </si>
  <si>
    <t>https://ebookcentral.proquest.com/lib/cam/detail.action?docID=5778076</t>
  </si>
  <si>
    <t>Veer Ecology : A Companion for Environmental Thinking</t>
  </si>
  <si>
    <t>Social Science; Environmental Studies</t>
  </si>
  <si>
    <t>GF75 .V447 2017</t>
  </si>
  <si>
    <t>https://ebookcentral.proquest.com/lib/cam/detail.action?docID=5211788</t>
  </si>
  <si>
    <t>Iconoclasm : The Breaking and Making of Images</t>
  </si>
  <si>
    <t>Philosophy; Fine Arts</t>
  </si>
  <si>
    <t>BH301.I52 .I266 2019</t>
  </si>
  <si>
    <t>https://ebookcentral.proquest.com/lib/cam/detail.action?docID=5849374</t>
  </si>
  <si>
    <t>Beyond the Texts : An Archaeological Portrait of Ancient Israel and Judah</t>
  </si>
  <si>
    <t>DS111</t>
  </si>
  <si>
    <t>https://ebookcentral.proquest.com/lib/cam/detail.action?docID=5109047</t>
  </si>
  <si>
    <t>Panepiphanal World : James Joyce's Epiphanies</t>
  </si>
  <si>
    <t>823/.912</t>
  </si>
  <si>
    <t>PR6019.O9 Z7183</t>
  </si>
  <si>
    <t>https://ebookcentral.proquest.com/lib/cam/detail.action?docID=6034005</t>
  </si>
  <si>
    <t>Cold War on the Airwaves : The Radio Propaganda War Against East Germany</t>
  </si>
  <si>
    <t>PN1991</t>
  </si>
  <si>
    <t>https://ebookcentral.proquest.com/lib/cam/detail.action?docID=4306049</t>
  </si>
  <si>
    <t>Crossing the Gate : Everyday Lives of Women in Song Fujian (960-1279)</t>
  </si>
  <si>
    <t>305.4095109/01</t>
  </si>
  <si>
    <t>HQ1147.C6.X8 2016</t>
  </si>
  <si>
    <t>https://ebookcentral.proquest.com/lib/cam/detail.action?docID=4728049</t>
  </si>
  <si>
    <t>Inventing Disaster : The Culture of Calamity from the Jamestown Colony to the Johnstown Flood</t>
  </si>
  <si>
    <t>D24 .K54 2019</t>
  </si>
  <si>
    <t>https://ebookcentral.proquest.com/lib/cam/detail.action?docID=5892668</t>
  </si>
  <si>
    <t>Schooling Readers : Reading Common Schools in Nineteenth-Century American Fiction</t>
  </si>
  <si>
    <t>813/.3093557</t>
  </si>
  <si>
    <t>https://ebookcentral.proquest.com/lib/cam/detail.action?docID=4516786</t>
  </si>
  <si>
    <t>Charting the Past : The Historical Worlds of Eighteenth-Century England</t>
  </si>
  <si>
    <t>DA480 .B533 2019</t>
  </si>
  <si>
    <t>https://ebookcentral.proquest.com/lib/cam/detail.action?docID=5548428</t>
  </si>
  <si>
    <t>Repentance and the Return to God : Tawba in Early Sufism</t>
  </si>
  <si>
    <t>297.4/46</t>
  </si>
  <si>
    <t>BP166.79 .K435 2018</t>
  </si>
  <si>
    <t>https://ebookcentral.proquest.com/lib/cam/detail.action?docID=5521033</t>
  </si>
  <si>
    <t>Prison Land : Mapping Carceral Power Across Neoliberal America</t>
  </si>
  <si>
    <t>HV9471 .S767 2019</t>
  </si>
  <si>
    <t>https://ebookcentral.proquest.com/lib/cam/detail.action?docID=5730584</t>
  </si>
  <si>
    <t>Feminism, Violence, and Representation in Modern Italy : We Are Witnesses, Not Victims</t>
  </si>
  <si>
    <t>305.420945/75</t>
  </si>
  <si>
    <t>HQ1236.5.I8 .P37 2019</t>
  </si>
  <si>
    <t>https://ebookcentral.proquest.com/lib/cam/detail.action?docID=5899535</t>
  </si>
  <si>
    <t>The Art of Distances : Ethical Thinking in Twentieth-Century Literature</t>
  </si>
  <si>
    <t>PN49</t>
  </si>
  <si>
    <t>https://ebookcentral.proquest.com/lib/cam/detail.action?docID=5302685</t>
  </si>
  <si>
    <t>Heidegger : Phenomenology, Ecology, Politics</t>
  </si>
  <si>
    <t>https://ebookcentral.proquest.com/lib/cam/detail.action?docID=5501862</t>
  </si>
  <si>
    <t>Colonialism, Community, and Heritage in Native New England</t>
  </si>
  <si>
    <t>E78.N5 H37 2019</t>
  </si>
  <si>
    <t>https://ebookcentral.proquest.com/lib/cam/detail.action?docID=5612846</t>
  </si>
  <si>
    <t>The Tragedy of Optimism : Writings on Hermann Cohen</t>
  </si>
  <si>
    <t>181/.06</t>
  </si>
  <si>
    <t>B5800 .2018</t>
  </si>
  <si>
    <t>https://ebookcentral.proquest.com/lib/cam/detail.action?docID=5257733</t>
  </si>
  <si>
    <t>Moral Relativism and Chinese Philosophy : David Wong and His Critics</t>
  </si>
  <si>
    <t>171/.7</t>
  </si>
  <si>
    <t>BJ968.W663.M67 2014</t>
  </si>
  <si>
    <t>https://ebookcentral.proquest.com/lib/cam/detail.action?docID=3408842</t>
  </si>
  <si>
    <t>Innovating South-South Cooperation : Policies, Challenges and Prospects</t>
  </si>
  <si>
    <t>HC60 .I566 2019</t>
  </si>
  <si>
    <t>https://ebookcentral.proquest.com/lib/cam/detail.action?docID=5883013</t>
  </si>
  <si>
    <t>The Origins of Bioethics : Remembering When Medicine Went Wrong</t>
  </si>
  <si>
    <t>Philosophy; Medicine</t>
  </si>
  <si>
    <t>R853</t>
  </si>
  <si>
    <t>https://ebookcentral.proquest.com/lib/cam/detail.action?docID=5794310</t>
  </si>
  <si>
    <t>The Uttaratantra in the Land of Snows : Tibetan Thinkers Debate the Centrality of the Buddha-Nature Treatise</t>
  </si>
  <si>
    <t>B802.W364 2017eb</t>
  </si>
  <si>
    <t>https://ebookcentral.proquest.com/lib/cam/detail.action?docID=4813412</t>
  </si>
  <si>
    <t>The Whole World Was Watching : Sport in the Cold War</t>
  </si>
  <si>
    <t>GV706.35 .W465 2020</t>
  </si>
  <si>
    <t>https://ebookcentral.proquest.com/lib/cam/detail.action?docID=5928265</t>
  </si>
  <si>
    <t>Left in the West : Literature, Culture, and Progressive Politics in the American West</t>
  </si>
  <si>
    <t>810.9/3278</t>
  </si>
  <si>
    <t>PS271</t>
  </si>
  <si>
    <t>https://ebookcentral.proquest.com/lib/cam/detail.action?docID=5607530</t>
  </si>
  <si>
    <t>Secrets and Spies : UK Intelligence Accountability after Iraq and Snowden</t>
  </si>
  <si>
    <t>JN329.I6 .G375 2020</t>
  </si>
  <si>
    <t>https://ebookcentral.proquest.com/lib/cam/detail.action?docID=5829097</t>
  </si>
  <si>
    <t>Dead Letters Sent : Queer Literary Transmission</t>
  </si>
  <si>
    <t>PR408.H65 O38 2015</t>
  </si>
  <si>
    <t>https://ebookcentral.proquest.com/lib/cam/detail.action?docID=2081096</t>
  </si>
  <si>
    <t>Science Fiction and Extro-Science Fiction</t>
  </si>
  <si>
    <t>Philosophy; Literature</t>
  </si>
  <si>
    <t>PN3433.5 -- .M455 2015eb</t>
  </si>
  <si>
    <t>https://ebookcentral.proquest.com/lib/cam/detail.action?docID=4391891</t>
  </si>
  <si>
    <t>Remembering Absence : The Sense of Life in Island Greece</t>
  </si>
  <si>
    <t>914.95/82</t>
  </si>
  <si>
    <t>DF261.A177 .A744 2019</t>
  </si>
  <si>
    <t>https://ebookcentral.proquest.com/lib/cam/detail.action?docID=5744482</t>
  </si>
  <si>
    <t>Transfusion : Blood and Sympathy in the Nineteenth-Century Literary Imagination</t>
  </si>
  <si>
    <t>820.9/356109034</t>
  </si>
  <si>
    <t>PR868.B564 .K533 2019</t>
  </si>
  <si>
    <t>https://ebookcentral.proquest.com/lib/cam/detail.action?docID=5850460</t>
  </si>
  <si>
    <t>Diplomacy and the Aristocracy as Patrons of Music and Theatre in the Europe of the Ancien Régime</t>
  </si>
  <si>
    <t>Hollitzer Wissenschaftsverlag</t>
  </si>
  <si>
    <t>JX1635 .D575 2019</t>
  </si>
  <si>
    <t>https://ebookcentral.proquest.com/lib/cam/detail.action?docID=5979522</t>
  </si>
  <si>
    <t>Levinas and the Torah : A Phenomenological Approach</t>
  </si>
  <si>
    <t>222/.106092</t>
  </si>
  <si>
    <t>BS1225.52.S84 2019</t>
  </si>
  <si>
    <t>https://ebookcentral.proquest.com/lib/cam/detail.action?docID=5886369</t>
  </si>
  <si>
    <t>Field Marshal : The Life and Death of Erwin Rommel</t>
  </si>
  <si>
    <t>Casemate Publishers</t>
  </si>
  <si>
    <t>E745</t>
  </si>
  <si>
    <t>https://ebookcentral.proquest.com/lib/cam/detail.action?docID=2076304</t>
  </si>
  <si>
    <t>Thinking about the Torah : A Philosopher Reads the Bible</t>
  </si>
  <si>
    <t>BS1225.52.S425 2016</t>
  </si>
  <si>
    <t>https://ebookcentral.proquest.com/lib/cam/detail.action?docID=4690662</t>
  </si>
  <si>
    <t>The Priority of Injustice : Locating Democracy in Critical Theory</t>
  </si>
  <si>
    <t>JC423.B376 2017</t>
  </si>
  <si>
    <t>https://ebookcentral.proquest.com/lib/cam/detail.action?docID=5108226</t>
  </si>
  <si>
    <t>Building Reuse : Sustainability, Preservation, and the Value of Design</t>
  </si>
  <si>
    <t>720/.47</t>
  </si>
  <si>
    <t>BEE</t>
  </si>
  <si>
    <t>https://ebookcentral.proquest.com/lib/cam/detail.action?docID=5548423</t>
  </si>
  <si>
    <t>Defending Women's Rights in Europe : Gender Equality and EU Enlargement</t>
  </si>
  <si>
    <t>HQ1236.5.E85 -- .A934 2015eb</t>
  </si>
  <si>
    <t>https://ebookcentral.proquest.com/lib/cam/detail.action?docID=3409028</t>
  </si>
  <si>
    <t>End and the Beginning : The Revoltions of 1989 and the Resurgence of History</t>
  </si>
  <si>
    <t>947.0009/048</t>
  </si>
  <si>
    <t>DJK51 -- .E525 2012eb</t>
  </si>
  <si>
    <t>https://ebookcentral.proquest.com/lib/cam/detail.action?docID=3137339</t>
  </si>
  <si>
    <t>Veteran Americans : Literature and Citizenship from Revolution to Reconstruction</t>
  </si>
  <si>
    <t>PS169.B54 .C667 2018</t>
  </si>
  <si>
    <t>https://ebookcentral.proquest.com/lib/cam/detail.action?docID=5447867</t>
  </si>
  <si>
    <t>Introduction to English Phonetics and Phonology</t>
  </si>
  <si>
    <t>PE1135.G88 2009</t>
  </si>
  <si>
    <t>https://ebookcentral.proquest.com/lib/cam/detail.action?docID=1632537</t>
  </si>
  <si>
    <t>Van Diemen's Land : An Aboriginal History</t>
  </si>
  <si>
    <t>UNSW Press</t>
  </si>
  <si>
    <t>DU470 .J384 2015</t>
  </si>
  <si>
    <t>https://ebookcentral.proquest.com/lib/cam/detail.action?docID=1963356</t>
  </si>
  <si>
    <t>Voices of the Enslaved : Love, Labor, and Longing in French Louisiana</t>
  </si>
  <si>
    <t>Omohundro Institute of Early American History &amp; Culture</t>
  </si>
  <si>
    <t>E445.L8 .W458 2019</t>
  </si>
  <si>
    <t>https://ebookcentral.proquest.com/lib/cam/detail.action?docID=5966719</t>
  </si>
  <si>
    <t>In Defense of Farmers : The Future of Agriculture in the Shadow of Corporate Power</t>
  </si>
  <si>
    <t>Environmental Studies; Agriculture</t>
  </si>
  <si>
    <t>https://ebookcentral.proquest.com/lib/cam/detail.action?docID=5769603</t>
  </si>
  <si>
    <t>The Ages of the World (1811)</t>
  </si>
  <si>
    <t>B2894.W42 .S345 2019</t>
  </si>
  <si>
    <t>https://ebookcentral.proquest.com/lib/cam/detail.action?docID=5718934</t>
  </si>
  <si>
    <t>Leadership Decapitation : Strategic Targeting of Terrorist Organizations</t>
  </si>
  <si>
    <t>HV6431 .J673 2019</t>
  </si>
  <si>
    <t>https://ebookcentral.proquest.com/lib/cam/detail.action?docID=5906832</t>
  </si>
  <si>
    <t>Teaching Against Violence : The Reassessing Toolbox</t>
  </si>
  <si>
    <t>HV6250.4.W65.T43 20</t>
  </si>
  <si>
    <t>https://ebookcentral.proquest.com/lib/cam/detail.action?docID=3137360</t>
  </si>
  <si>
    <t>Transatlantic Central Europe : Contesting Geography and Redefining Culture Beyond the Nation</t>
  </si>
  <si>
    <t>302.23/0943</t>
  </si>
  <si>
    <t>PN5355.C66 .L336 2019</t>
  </si>
  <si>
    <t>https://ebookcentral.proquest.com/lib/cam/detail.action?docID=5780995</t>
  </si>
  <si>
    <t>Sites of Disquiet : The Non-Space in Spanish American Short Narratives and Their Cinematic Transformations</t>
  </si>
  <si>
    <t>PQ7082.N7 -- K68 2013eb</t>
  </si>
  <si>
    <t>https://ebookcentral.proquest.com/lib/cam/detail.action?docID=3120282</t>
  </si>
  <si>
    <t>The Ways That Often Parted : Essays in Honor of Joel Marcus</t>
  </si>
  <si>
    <t>261.2/609015</t>
  </si>
  <si>
    <t>BM535</t>
  </si>
  <si>
    <t>https://ebookcentral.proquest.com/lib/cam/detail.action?docID=5574720</t>
  </si>
  <si>
    <t>Modeling Cross-Cultural Interaction in Ancient Borderlands</t>
  </si>
  <si>
    <t>303.48/2</t>
  </si>
  <si>
    <t>HM1211 .G73 2018</t>
  </si>
  <si>
    <t>https://ebookcentral.proquest.com/lib/cam/detail.action?docID=5340303</t>
  </si>
  <si>
    <t>Sisters of Tomorrow : The First Women of Science Fiction</t>
  </si>
  <si>
    <t>813/.08762099287</t>
  </si>
  <si>
    <t>PS374.S35.S57 2016</t>
  </si>
  <si>
    <t>https://ebookcentral.proquest.com/lib/cam/detail.action?docID=4082681</t>
  </si>
  <si>
    <t>Guerrilla Theory : Political Concepts, Critical Digital Humanities</t>
  </si>
  <si>
    <t>AZ105</t>
  </si>
  <si>
    <t>https://ebookcentral.proquest.com/lib/cam/detail.action?docID=6038882</t>
  </si>
  <si>
    <t>Heaven, Hell, and Everything in Between : Murals of the Colonial Andes</t>
  </si>
  <si>
    <t>751.7/3098</t>
  </si>
  <si>
    <t>F3429.3.P34.C644 2016</t>
  </si>
  <si>
    <t>https://ebookcentral.proquest.com/lib/cam/detail.action?docID=4770545</t>
  </si>
  <si>
    <t>The End of Patriarchy : Radical Feminism for Men</t>
  </si>
  <si>
    <t>Spinifex Press</t>
  </si>
  <si>
    <t>GN479.6.J467 2017</t>
  </si>
  <si>
    <t>https://ebookcentral.proquest.com/lib/cam/detail.action?docID=4756006</t>
  </si>
  <si>
    <t>New World Cities : Challenges of Urbanization and Globalization in the Americas</t>
  </si>
  <si>
    <t>HT153 .N49 2019</t>
  </si>
  <si>
    <t>https://ebookcentral.proquest.com/lib/cam/detail.action?docID=5717461</t>
  </si>
  <si>
    <t>Space and Mobility in Palestine</t>
  </si>
  <si>
    <t>DS113.6.P48 2017</t>
  </si>
  <si>
    <t>https://ebookcentral.proquest.com/lib/cam/detail.action?docID=4804431</t>
  </si>
  <si>
    <t>The China-US Partnership to Prevent Spina Bifida : The Evolution of a Landmark Epidemiological Study</t>
  </si>
  <si>
    <t>Vanderbilt University Press</t>
  </si>
  <si>
    <t>Health; Social Science; Medicine</t>
  </si>
  <si>
    <t>RA651 -- .K693 2015eb</t>
  </si>
  <si>
    <t>https://ebookcentral.proquest.com/lib/cam/detail.action?docID=3571990</t>
  </si>
  <si>
    <t>Homer's Hero : Human Excellence in the Iliad and the Odyssey</t>
  </si>
  <si>
    <t>PA4037 .K83 2019</t>
  </si>
  <si>
    <t>https://ebookcentral.proquest.com/lib/cam/detail.action?docID=5928330</t>
  </si>
  <si>
    <t>Hungry Translations : Relearning the World Through Radical Vulnerability</t>
  </si>
  <si>
    <t>HQ1742 .N34 2019</t>
  </si>
  <si>
    <t>https://ebookcentral.proquest.com/lib/cam/detail.action?docID=5896906</t>
  </si>
  <si>
    <t>Scripts of Blackness : Race, Cultural Nationalism, and U. S. Colonialism in Puerto Rico</t>
  </si>
  <si>
    <t>F1983</t>
  </si>
  <si>
    <t>https://ebookcentral.proquest.com/lib/cam/detail.action?docID=3414421</t>
  </si>
  <si>
    <t>Desiring the Bomb : Communication, Psychoanalysis, and the Atomic Age</t>
  </si>
  <si>
    <t>306.2/7097309045</t>
  </si>
  <si>
    <t>U264</t>
  </si>
  <si>
    <t>https://ebookcentral.proquest.com/lib/cam/detail.action?docID=5569191</t>
  </si>
  <si>
    <t>1940 : FDR, Willkie, Lindbergh, Hitler-The Election amid the Storm</t>
  </si>
  <si>
    <t>Yale University Press</t>
  </si>
  <si>
    <t>E811 -- .D86 2013eb</t>
  </si>
  <si>
    <t>https://ebookcentral.proquest.com/lib/cam/detail.action?docID=3421253</t>
  </si>
  <si>
    <t>Monotheism and Its Complexities : Christian and Muslim Perspectives</t>
  </si>
  <si>
    <t>BP166.2 .M666 2018</t>
  </si>
  <si>
    <t>https://ebookcentral.proquest.com/lib/cam/detail.action?docID=5662527</t>
  </si>
  <si>
    <t>Underworlds of Memory : W. G. Sebald's Epic Journeys through the Past</t>
  </si>
  <si>
    <t>https://ebookcentral.proquest.com/lib/cam/detail.action?docID=4835152</t>
  </si>
  <si>
    <t>The Poem Electric : Technology and the American Lyric</t>
  </si>
  <si>
    <t>PS309.E96 .P47 2018</t>
  </si>
  <si>
    <t>https://ebookcentral.proquest.com/lib/cam/detail.action?docID=5583812</t>
  </si>
  <si>
    <t>Re-Enchanted : The Rise of Children's Fantasy Literature in the Twentieth Century</t>
  </si>
  <si>
    <t>https://ebookcentral.proquest.com/lib/cam/detail.action?docID=6002234</t>
  </si>
  <si>
    <t>Consuming Modernity : Public Culture in a South Asian World</t>
  </si>
  <si>
    <t>306/.0954</t>
  </si>
  <si>
    <t>DS423 -- .C577 1995eb</t>
  </si>
  <si>
    <t>https://ebookcentral.proquest.com/lib/cam/detail.action?docID=310334</t>
  </si>
  <si>
    <t>Religious Zionism and the Settlement Project : Ideology, Politics, and Civil Disobedience</t>
  </si>
  <si>
    <t>331.3/15694</t>
  </si>
  <si>
    <t>DS150.R32 .H44 2018</t>
  </si>
  <si>
    <t>https://ebookcentral.proquest.com/lib/cam/detail.action?docID=5359264</t>
  </si>
  <si>
    <t>Cahokia in Context : Hegemony and Diaspora</t>
  </si>
  <si>
    <t>E99.M6815 C357</t>
  </si>
  <si>
    <t>https://ebookcentral.proquest.com/lib/cam/detail.action?docID=5995839</t>
  </si>
  <si>
    <t>Leo Strauss on Science : Thoughts on the Relation Between Natural Science and Political Philosophy</t>
  </si>
  <si>
    <t>B945.S84.M565 2016</t>
  </si>
  <si>
    <t>https://ebookcentral.proquest.com/lib/cam/detail.action?docID=4747182</t>
  </si>
  <si>
    <t>Argentina Noir : New Millennium Crime Novels in Buenos Aires</t>
  </si>
  <si>
    <t>863.009/3556</t>
  </si>
  <si>
    <t>PQ7707.C74 .S365 2019</t>
  </si>
  <si>
    <t>https://ebookcentral.proquest.com/lib/cam/detail.action?docID=5718935</t>
  </si>
  <si>
    <t>Cultural Journeys into the Arab World : A Literary Anthology</t>
  </si>
  <si>
    <t>892.7/08</t>
  </si>
  <si>
    <t>PJ7694.E1 .C858 2018</t>
  </si>
  <si>
    <t>https://ebookcentral.proquest.com/lib/cam/detail.action?docID=5473320</t>
  </si>
  <si>
    <t>Emplotting Virtue : A Narrative Approach to Environmental Virtue Ethics</t>
  </si>
  <si>
    <t>BJ1531 -- .T74 2014eb</t>
  </si>
  <si>
    <t>https://ebookcentral.proquest.com/lib/cam/detail.action?docID=3408884</t>
  </si>
  <si>
    <t>The Forces of Form in German Modernism</t>
  </si>
  <si>
    <t>700.94309/034</t>
  </si>
  <si>
    <t>N6868</t>
  </si>
  <si>
    <t>https://ebookcentral.proquest.com/lib/cam/detail.action?docID=5481640</t>
  </si>
  <si>
    <t>Eileen Duggan : Selected Poems</t>
  </si>
  <si>
    <t>Victoria University Press</t>
  </si>
  <si>
    <t>PR9635.25 .D844 1994</t>
  </si>
  <si>
    <t>https://ebookcentral.proquest.com/lib/cam/detail.action?docID=1688084</t>
  </si>
  <si>
    <t>The Criminalization of Black Children : Race, Gender, and Delinquency in Chicago's Juvenile Justice System, 1899-1945</t>
  </si>
  <si>
    <t>HV9105.I3 .A79 2018</t>
  </si>
  <si>
    <t>https://ebookcentral.proquest.com/lib/cam/detail.action?docID=5322488</t>
  </si>
  <si>
    <t>Spiritual Subjects : Central Asian Pilgrims and the Ottoman Hajj at the End of Empire</t>
  </si>
  <si>
    <t>https://ebookcentral.proquest.com/lib/cam/detail.action?docID=6001659</t>
  </si>
  <si>
    <t>Building Family Business Champions</t>
  </si>
  <si>
    <t>HD62</t>
  </si>
  <si>
    <t>https://ebookcentral.proquest.com/lib/cam/detail.action?docID=4414780</t>
  </si>
  <si>
    <t>Waging War on War : Peacefighting in American Literature</t>
  </si>
  <si>
    <t>810.9/358</t>
  </si>
  <si>
    <t>PS169</t>
  </si>
  <si>
    <t>https://ebookcentral.proquest.com/lib/cam/detail.action?docID=4306054</t>
  </si>
  <si>
    <t>Asia's Regional Architecture : Alliances and Institutions in the Pacific Century</t>
  </si>
  <si>
    <t>JZ1720.Y46 2019</t>
  </si>
  <si>
    <t>https://ebookcentral.proquest.com/lib/cam/detail.action?docID=5703761</t>
  </si>
  <si>
    <t>F. Scott Fitzgerald and the American Scene</t>
  </si>
  <si>
    <t>813/.52</t>
  </si>
  <si>
    <t>PS3511</t>
  </si>
  <si>
    <t>https://ebookcentral.proquest.com/lib/cam/detail.action?docID=4941642</t>
  </si>
  <si>
    <t>With the Witnesses : Poetry, Compassion, and Claimed Experience</t>
  </si>
  <si>
    <t>809.1/9353</t>
  </si>
  <si>
    <t>PN56.S742</t>
  </si>
  <si>
    <t>https://ebookcentral.proquest.com/lib/cam/detail.action?docID=4863104</t>
  </si>
  <si>
    <t>Richard Ford and the Ends of Realism</t>
  </si>
  <si>
    <t>PS3556</t>
  </si>
  <si>
    <t>https://ebookcentral.proquest.com/lib/cam/detail.action?docID=2045664</t>
  </si>
  <si>
    <t>Rethinking Open Society : New Adversaries and New Opportunities</t>
  </si>
  <si>
    <t>https://ebookcentral.proquest.com/lib/cam/detail.action?docID=5489826</t>
  </si>
  <si>
    <t>Best New African Poets 2016 Anthology</t>
  </si>
  <si>
    <t>PR6113.A375 .B478 2017</t>
  </si>
  <si>
    <t>https://ebookcentral.proquest.com/lib/cam/detail.action?docID=5301855</t>
  </si>
  <si>
    <t>Becoming Refugee American : The Politics of Rescue in Little Saigon</t>
  </si>
  <si>
    <t>Geography/Travel; Social Science; History</t>
  </si>
  <si>
    <t>305.9/06914079496</t>
  </si>
  <si>
    <t>F868</t>
  </si>
  <si>
    <t>https://ebookcentral.proquest.com/lib/cam/detail.action?docID=5109019</t>
  </si>
  <si>
    <t>Leave No One Behind : Time for Specifics on the Sustainable Development Goals</t>
  </si>
  <si>
    <t>HC79.E5 .L438 2020</t>
  </si>
  <si>
    <t>https://ebookcentral.proquest.com/lib/cam/detail.action?docID=5830084</t>
  </si>
  <si>
    <t>Repatriating Karl Polanyi : Market Society in the Visegrád States</t>
  </si>
  <si>
    <t>HB102.P64 .H366 2019</t>
  </si>
  <si>
    <t>https://ebookcentral.proquest.com/lib/cam/detail.action?docID=5982508</t>
  </si>
  <si>
    <t>Isles of Noise : Sonic Media in the Caribbean</t>
  </si>
  <si>
    <t>Engineering: Electrical; Engineering; Business/Management</t>
  </si>
  <si>
    <t>TK6548.C37</t>
  </si>
  <si>
    <t>https://ebookcentral.proquest.com/lib/cam/detail.action?docID=4525827</t>
  </si>
  <si>
    <t>Science Without Leisure : Practical Naturalism in Istanbul, 1660-1732</t>
  </si>
  <si>
    <t>Science: General</t>
  </si>
  <si>
    <t>https://ebookcentral.proquest.com/lib/cam/detail.action?docID=5994454</t>
  </si>
  <si>
    <t>The Portrait's Subject : Inventing Inner Life in the Nineteenth-Century United States</t>
  </si>
  <si>
    <t>N7593 .B533 2019</t>
  </si>
  <si>
    <t>https://ebookcentral.proquest.com/lib/cam/detail.action?docID=5964196</t>
  </si>
  <si>
    <t>Inhabited Spaces : Anglo-Saxon Constructions of Place</t>
  </si>
  <si>
    <t>BL980.G7.D573 2017</t>
  </si>
  <si>
    <t>https://ebookcentral.proquest.com/lib/cam/detail.action?docID=4793278</t>
  </si>
  <si>
    <t>Pathologies of Love : Medicine and the Woman Question in Early Modern France</t>
  </si>
  <si>
    <t>HQ1149.F8 .K46 2019</t>
  </si>
  <si>
    <t>https://ebookcentral.proquest.com/lib/cam/detail.action?docID=5945870</t>
  </si>
  <si>
    <t>Haunting Realities : Naturalist Gothic and American Realism</t>
  </si>
  <si>
    <t>https://ebookcentral.proquest.com/lib/cam/detail.action?docID=4865110</t>
  </si>
  <si>
    <t>The Real Planet of the Apes : A New Story of Human Origins</t>
  </si>
  <si>
    <t>GN281.B44 2016</t>
  </si>
  <si>
    <t>https://ebookcentral.proquest.com/lib/cam/detail.action?docID=4001663</t>
  </si>
  <si>
    <t>Taiping Theology : The Localization of Christianity in China, 1843-64</t>
  </si>
  <si>
    <t>https://ebookcentral.proquest.com/lib/cam/detail.action?docID=4716548</t>
  </si>
  <si>
    <t>Dear World : Contemporary Uses of the Diary</t>
  </si>
  <si>
    <t>808.06/692</t>
  </si>
  <si>
    <t>PN4390</t>
  </si>
  <si>
    <t>https://ebookcentral.proquest.com/lib/cam/detail.action?docID=3445433</t>
  </si>
  <si>
    <t>Early Modern Humanism and Postmodern Antihumanism in Dialogue</t>
  </si>
  <si>
    <t>https://ebookcentral.proquest.com/lib/cam/detail.action?docID=4718096</t>
  </si>
  <si>
    <t>On Self-Translation : Meditations on Language</t>
  </si>
  <si>
    <t>418/.02</t>
  </si>
  <si>
    <t>P306.97.S45 .S738 2018</t>
  </si>
  <si>
    <t>https://ebookcentral.proquest.com/lib/cam/detail.action?docID=5515183</t>
  </si>
  <si>
    <t>Sounding Composition : Multimodal Pedagogies for Embodied Listening</t>
  </si>
  <si>
    <t>Education; Psychology</t>
  </si>
  <si>
    <t>BF251</t>
  </si>
  <si>
    <t>https://ebookcentral.proquest.com/lib/cam/detail.action?docID=5507795</t>
  </si>
  <si>
    <t>Mixed Feelings and Vexed Passions : Exploring Emotions in Biblical Literature</t>
  </si>
  <si>
    <t>BS680</t>
  </si>
  <si>
    <t>https://ebookcentral.proquest.com/lib/cam/detail.action?docID=5106955</t>
  </si>
  <si>
    <t>Atmospheres of Breathing</t>
  </si>
  <si>
    <t>Health; Religion</t>
  </si>
  <si>
    <t>BP189.2 .A866 2018</t>
  </si>
  <si>
    <t>https://ebookcentral.proquest.com/lib/cam/detail.action?docID=5325583</t>
  </si>
  <si>
    <t>Poisonous Muse : The Female Poisoner and the Framing of Popular Authorship in Jacksonian America</t>
  </si>
  <si>
    <t>810.9/3522</t>
  </si>
  <si>
    <t>PS217</t>
  </si>
  <si>
    <t>https://ebookcentral.proquest.com/lib/cam/detail.action?docID=4439527</t>
  </si>
  <si>
    <t>Animating Black and Brown Liberation : A Theory of American Literatures</t>
  </si>
  <si>
    <t>810.9/3552</t>
  </si>
  <si>
    <t>PS169.L5 .D383 2019</t>
  </si>
  <si>
    <t>https://ebookcentral.proquest.com/lib/cam/detail.action?docID=5752631</t>
  </si>
  <si>
    <t>On Islam : Muslims and the Media</t>
  </si>
  <si>
    <t>https://ebookcentral.proquest.com/lib/cam/detail.action?docID=5219450</t>
  </si>
  <si>
    <t>The Rise and Fall of an Officer Corps : The Republic of China Military, 1942-1955</t>
  </si>
  <si>
    <t>UA837 .S38 2018</t>
  </si>
  <si>
    <t>https://ebookcentral.proquest.com/lib/cam/detail.action?docID=5494446</t>
  </si>
  <si>
    <t>Building Assets, Building Credit : Creating Wealth in Low-Income Communities</t>
  </si>
  <si>
    <t>HG3756.U54 -- B85 2005eb</t>
  </si>
  <si>
    <t>https://ebookcentral.proquest.com/lib/cam/detail.action?docID=267608</t>
  </si>
  <si>
    <t>Sympathy, Madness, and Crime : How Four Nineteenth-Century Journalists Made the Newspaper Women's Business</t>
  </si>
  <si>
    <t>PN4888.W66.R64 2016</t>
  </si>
  <si>
    <t>https://ebookcentral.proquest.com/lib/cam/detail.action?docID=4717673</t>
  </si>
  <si>
    <t>Hazing : Destroying Young Lives</t>
  </si>
  <si>
    <t>LA229 .H395 2018</t>
  </si>
  <si>
    <t>https://ebookcentral.proquest.com/lib/cam/detail.action?docID=5267463</t>
  </si>
  <si>
    <t>Whose Middle Ages? : Teachable Moments for an Ill-Used Past</t>
  </si>
  <si>
    <t>CB351 .W467 2019</t>
  </si>
  <si>
    <t>https://ebookcentral.proquest.com/lib/cam/detail.action?docID=5888697</t>
  </si>
  <si>
    <t>Urbanism and Empire in Roman Sicily</t>
  </si>
  <si>
    <t>937/.8</t>
  </si>
  <si>
    <t>DG55.S5 .P486 2019</t>
  </si>
  <si>
    <t>https://ebookcentral.proquest.com/lib/cam/detail.action?docID=5613329</t>
  </si>
  <si>
    <t>In the Life and in the Spirit : Homoerotic Spirituality in African American Literature</t>
  </si>
  <si>
    <t>810.9/896073</t>
  </si>
  <si>
    <t>PS153.N5 -- .M663 2014eb</t>
  </si>
  <si>
    <t>https://ebookcentral.proquest.com/lib/cam/detail.action?docID=3408954</t>
  </si>
  <si>
    <t>Cleansing the Czechoslovak Borderlands : Migration, Environment, and Health in the Former Sudetenland</t>
  </si>
  <si>
    <t>DB2500</t>
  </si>
  <si>
    <t>https://ebookcentral.proquest.com/lib/cam/detail.action?docID=4786330</t>
  </si>
  <si>
    <t>Black Culture and Experience : Contemporary Issues</t>
  </si>
  <si>
    <t>Peter Lang AG</t>
  </si>
  <si>
    <t>E185.86 -- .B524 2015eb</t>
  </si>
  <si>
    <t>https://ebookcentral.proquest.com/lib/cam/detail.action?docID=4012269</t>
  </si>
  <si>
    <t>Disabled Futures : A Framework for Radical Inclusion</t>
  </si>
  <si>
    <t>HV1568</t>
  </si>
  <si>
    <t>https://ebookcentral.proquest.com/lib/cam/detail.action?docID=5996259</t>
  </si>
  <si>
    <t>Josephine Baker and Katherine Dunham : Dances in Literature and Cinema</t>
  </si>
  <si>
    <t>Sport &amp;amp; Recreation; Fine Arts</t>
  </si>
  <si>
    <t>GV1785.A1 .D875 2019</t>
  </si>
  <si>
    <t>https://ebookcentral.proquest.com/lib/cam/detail.action?docID=5892268</t>
  </si>
  <si>
    <t>Life in Kings : Reshaping the Royal Story in the Hebrew Bible</t>
  </si>
  <si>
    <t>BS1335</t>
  </si>
  <si>
    <t>https://ebookcentral.proquest.com/lib/cam/detail.action?docID=4843175</t>
  </si>
  <si>
    <t>Science, Technology, and Irish Modernism</t>
  </si>
  <si>
    <t>PN55 .S354 2019</t>
  </si>
  <si>
    <t>https://ebookcentral.proquest.com/lib/cam/detail.action?docID=5968924</t>
  </si>
  <si>
    <t>Chinatown Opera Theater in North America</t>
  </si>
  <si>
    <t>792.509751/097</t>
  </si>
  <si>
    <t>ML1710</t>
  </si>
  <si>
    <t>https://ebookcentral.proquest.com/lib/cam/detail.action?docID=4792699</t>
  </si>
  <si>
    <t>Hunger and War : Food Provisioning in the Soviet Union During World War II</t>
  </si>
  <si>
    <t>363.80947/09044</t>
  </si>
  <si>
    <t>HD9015.S652 .G384 2015</t>
  </si>
  <si>
    <t>https://ebookcentral.proquest.com/lib/cam/detail.action?docID=2039887</t>
  </si>
  <si>
    <t>Rivers of Sacred Sound : Chant</t>
  </si>
  <si>
    <t>ML2900 .M3 2019</t>
  </si>
  <si>
    <t>https://ebookcentral.proquest.com/lib/cam/detail.action?docID=5964387</t>
  </si>
  <si>
    <t>Emir Kusturica</t>
  </si>
  <si>
    <t>https://ebookcentral.proquest.com/lib/cam/detail.action?docID=3414452</t>
  </si>
  <si>
    <t>Reimagining Liberation : How Black Women Transformed Citizenship in the French Empire</t>
  </si>
  <si>
    <t>HQ1163</t>
  </si>
  <si>
    <t>https://ebookcentral.proquest.com/lib/cam/detail.action?docID=6001835</t>
  </si>
  <si>
    <t>Religion, cults &amp; rituals in the medieval rural environment : Religion, Kulte und Rituale in der mittelalterlichen bäuerlichen Umgebung | Réligion, cultes et rituels au milieu rural médiéval</t>
  </si>
  <si>
    <t>BR735.R455 2017</t>
  </si>
  <si>
    <t>https://ebookcentral.proquest.com/lib/cam/detail.action?docID=5047260</t>
  </si>
  <si>
    <t>The Politics of Nature and Science in Southern Africa</t>
  </si>
  <si>
    <t>Basler Afrika Bibliographien</t>
  </si>
  <si>
    <t>QH77.A356P65 2016</t>
  </si>
  <si>
    <t>https://ebookcentral.proquest.com/lib/cam/detail.action?docID=4708909</t>
  </si>
  <si>
    <t>Second Wave Intertextuality and the Hebrew Bible</t>
  </si>
  <si>
    <t>BS1171</t>
  </si>
  <si>
    <t>https://ebookcentral.proquest.com/lib/cam/detail.action?docID=5780990</t>
  </si>
  <si>
    <t>The Young Lords : A Radical History</t>
  </si>
  <si>
    <t>https://ebookcentral.proquest.com/lib/cam/detail.action?docID=5996449</t>
  </si>
  <si>
    <t>Women Making Modernism</t>
  </si>
  <si>
    <t>PN56.M54 W66</t>
  </si>
  <si>
    <t>https://ebookcentral.proquest.com/lib/cam/detail.action?docID=6006590</t>
  </si>
  <si>
    <t>African Literature and Social Change : Tribe, Nation, Race</t>
  </si>
  <si>
    <t>PR9340.5 .G44 2017</t>
  </si>
  <si>
    <t>https://ebookcentral.proquest.com/lib/cam/detail.action?docID=5452144</t>
  </si>
  <si>
    <t>System of Comics</t>
  </si>
  <si>
    <t>University Press of Mississippi</t>
  </si>
  <si>
    <t>741.5/69</t>
  </si>
  <si>
    <t>PN6714 -- .G7613 2007eb</t>
  </si>
  <si>
    <t>https://ebookcentral.proquest.com/lib/cam/detail.action?docID=619195</t>
  </si>
  <si>
    <t>Saying What We Mean : Implicit Precision and the Responsive Order</t>
  </si>
  <si>
    <t>B945</t>
  </si>
  <si>
    <t>https://ebookcentral.proquest.com/lib/cam/detail.action?docID=5580515</t>
  </si>
  <si>
    <t>Gothic Imagination in Latin American Fiction and Film</t>
  </si>
  <si>
    <t>PN3448.G68 .S477 2019</t>
  </si>
  <si>
    <t>https://ebookcentral.proquest.com/lib/cam/detail.action?docID=5741867</t>
  </si>
  <si>
    <t>The Psychomachia of Prudentius : Text, Commentary, and Glossary</t>
  </si>
  <si>
    <t>PA6648.P6 .P458 2019</t>
  </si>
  <si>
    <t>https://ebookcentral.proquest.com/lib/cam/detail.action?docID=5844365</t>
  </si>
  <si>
    <t>Medicine and Memory in Tibet : Amchi Physicians in an Age of Reform</t>
  </si>
  <si>
    <t>Medicine</t>
  </si>
  <si>
    <t>610.951/5</t>
  </si>
  <si>
    <t>R603.T5 .H65 2018</t>
  </si>
  <si>
    <t>https://ebookcentral.proquest.com/lib/cam/detail.action?docID=5548373</t>
  </si>
  <si>
    <t>The Last Amateur : The Life of William J. Stillman</t>
  </si>
  <si>
    <t>Journalism; History</t>
  </si>
  <si>
    <t>CT275.S747 -- .D97 2014eb</t>
  </si>
  <si>
    <t>https://ebookcentral.proquest.com/lib/cam/detail.action?docID=3408916</t>
  </si>
  <si>
    <t>Spoiling and Coping with Spoilers : Israeli-Arab Negotiations</t>
  </si>
  <si>
    <t>DS119.76 .S665 2019</t>
  </si>
  <si>
    <t>https://ebookcentral.proquest.com/lib/cam/detail.action?docID=5789196</t>
  </si>
  <si>
    <t>Making Gullah : A History of Sapelo Islanders, Race, and the American Imagination</t>
  </si>
  <si>
    <t>975.8/73700496073</t>
  </si>
  <si>
    <t>F292.M15.C667 2017</t>
  </si>
  <si>
    <t>https://ebookcentral.proquest.com/lib/cam/detail.action?docID=4826417</t>
  </si>
  <si>
    <t>A New Middle Kingdom : Painting and Cultural Politics in Late Chos N Korea (1700�1850)</t>
  </si>
  <si>
    <t>759.9519/02</t>
  </si>
  <si>
    <t>WNH</t>
  </si>
  <si>
    <t>https://ebookcentral.proquest.com/lib/cam/detail.action?docID=5622380</t>
  </si>
  <si>
    <t>Eardrums : Literary Modernism as Sonic Warfare</t>
  </si>
  <si>
    <t>PT395</t>
  </si>
  <si>
    <t>https://ebookcentral.proquest.com/lib/cam/detail.action?docID=5770485</t>
  </si>
  <si>
    <t>Song of Myself : With a Complete Commentary</t>
  </si>
  <si>
    <t>811/.3</t>
  </si>
  <si>
    <t>PS3222</t>
  </si>
  <si>
    <t>https://ebookcentral.proquest.com/lib/cam/detail.action?docID=4689143</t>
  </si>
  <si>
    <t>The History of Mary Prince, a West Indian Slave : Related by Herself</t>
  </si>
  <si>
    <t>University of North Carolina at Chapel Hill Library</t>
  </si>
  <si>
    <t>JK9719.P756 2017</t>
  </si>
  <si>
    <t>https://ebookcentral.proquest.com/lib/cam/detail.action?docID=4862940</t>
  </si>
  <si>
    <t>The Obligated Self : Maternal Subjectivity and Jewish Thought</t>
  </si>
  <si>
    <t>BM726 .B465 2018</t>
  </si>
  <si>
    <t>https://ebookcentral.proquest.com/lib/cam/detail.action?docID=5434881</t>
  </si>
  <si>
    <t>Appalachian Reckoning : A Region Responds to Hillbilly Elegy</t>
  </si>
  <si>
    <t>West Virginia University Press</t>
  </si>
  <si>
    <t>F210</t>
  </si>
  <si>
    <t>https://ebookcentral.proquest.com/lib/cam/detail.action?docID=5667501</t>
  </si>
  <si>
    <t>Remembrance, History, and Justice : Coming to terms with traumatic pasts in democratic societies</t>
  </si>
  <si>
    <t>DJK51 -- .R464 2015eb</t>
  </si>
  <si>
    <t>https://ebookcentral.proquest.com/lib/cam/detail.action?docID=4443140</t>
  </si>
  <si>
    <t>Postcolonial Overtures : The Politics of Sound in Contemporary Northern Irish Poetry</t>
  </si>
  <si>
    <t>821/.9109357</t>
  </si>
  <si>
    <t>PR8781.S75O23 2015</t>
  </si>
  <si>
    <t>https://ebookcentral.proquest.com/lib/cam/detail.action?docID=4649063</t>
  </si>
  <si>
    <t>The Politics of Weapons Inspections : Assessing WMD Monitoring and Verification Regimes</t>
  </si>
  <si>
    <t>Military Science; Political Science</t>
  </si>
  <si>
    <t>327.1/745</t>
  </si>
  <si>
    <t>U793</t>
  </si>
  <si>
    <t>https://ebookcentral.proquest.com/lib/cam/detail.action?docID=4771434</t>
  </si>
  <si>
    <t>The Media World of ISIS</t>
  </si>
  <si>
    <t>HV6433.I722 .K766 2019</t>
  </si>
  <si>
    <t>https://ebookcentral.proquest.com/lib/cam/detail.action?docID=5965269</t>
  </si>
  <si>
    <t>Refutation of All Heresies</t>
  </si>
  <si>
    <t>273/.1</t>
  </si>
  <si>
    <t>https://ebookcentral.proquest.com/lib/cam/detail.action?docID=4539772</t>
  </si>
  <si>
    <t>The Seventies : The Personal, the Political and the Making of Modern Australia</t>
  </si>
  <si>
    <t>NewSouth Publishing</t>
  </si>
  <si>
    <t>D848 .A776 2019</t>
  </si>
  <si>
    <t>https://ebookcentral.proquest.com/lib/cam/detail.action?docID=5735459</t>
  </si>
  <si>
    <t>Allusion As Narrative Premise in Brahms's Instrumental Music</t>
  </si>
  <si>
    <t>ML410.B8 .S565 2018</t>
  </si>
  <si>
    <t>https://ebookcentral.proquest.com/lib/cam/detail.action?docID=5436545</t>
  </si>
  <si>
    <t>Return Migration to Afghanistan : Moving Back or Moving Forward?</t>
  </si>
  <si>
    <t>https://ebookcentral.proquest.com/lib/cam/detail.action?docID=4802184</t>
  </si>
  <si>
    <t>Human Rights after Hitler : The Lost History of Prosecuting Axis War Crimes</t>
  </si>
  <si>
    <t>341.6/9</t>
  </si>
  <si>
    <t>KZ1174.5.P58 2017</t>
  </si>
  <si>
    <t>https://ebookcentral.proquest.com/lib/cam/detail.action?docID=4833820</t>
  </si>
  <si>
    <t>The New Welfare Consensus : Ideological, Political, and Social Origins</t>
  </si>
  <si>
    <t>HV95 .B373 2018</t>
  </si>
  <si>
    <t>https://ebookcentral.proquest.com/lib/cam/detail.action?docID=5473316</t>
  </si>
  <si>
    <t>The Christian Moses : Vision, Authority, and the Limits of Humanity in the New Testament and Early Christianity</t>
  </si>
  <si>
    <t>BS680.V57 .C353 2019</t>
  </si>
  <si>
    <t>https://ebookcentral.proquest.com/lib/cam/detail.action?docID=5978794</t>
  </si>
  <si>
    <t>A Taste for Home : The Modern Middle Class in Ottoman Beirut</t>
  </si>
  <si>
    <t>305.5/5095692509041</t>
  </si>
  <si>
    <t>DS89.B4.A268 2017</t>
  </si>
  <si>
    <t>https://ebookcentral.proquest.com/lib/cam/detail.action?docID=4862154</t>
  </si>
  <si>
    <t>Science among the Ottomans : The Cultural Creation and Exchange of Knowledge</t>
  </si>
  <si>
    <t>Science; Literature</t>
  </si>
  <si>
    <t>813/.54 B</t>
  </si>
  <si>
    <t>Q127.T9S54 2015</t>
  </si>
  <si>
    <t>https://ebookcentral.proquest.com/lib/cam/detail.action?docID=4397265</t>
  </si>
  <si>
    <t>Queer Art Camp Superstar : Decoding the Cinematic Cyberworld of Ryan Trecartin</t>
  </si>
  <si>
    <t>N6537.T665 .Z858 2018</t>
  </si>
  <si>
    <t>https://ebookcentral.proquest.com/lib/cam/detail.action?docID=5317842</t>
  </si>
  <si>
    <t>Elemental Discourses</t>
  </si>
  <si>
    <t>BH301.I53 .S255 2018</t>
  </si>
  <si>
    <t>https://ebookcentral.proquest.com/lib/cam/detail.action?docID=5548427</t>
  </si>
  <si>
    <t>Speaking with the People's Voice : How Presidents Invoke Public Opinion</t>
  </si>
  <si>
    <t>Texas A&amp;M University Press</t>
  </si>
  <si>
    <t>JA85.2.U6 -- .D78 2014eb</t>
  </si>
  <si>
    <t>https://ebookcentral.proquest.com/lib/cam/detail.action?docID=1655543</t>
  </si>
  <si>
    <t>Saturn and Melancholy : Studies in the History of Natural Philosophy, Religion, and Art</t>
  </si>
  <si>
    <t>BF575.M44 .K553 2019</t>
  </si>
  <si>
    <t>https://ebookcentral.proquest.com/lib/cam/detail.action?docID=5978792</t>
  </si>
  <si>
    <t>Readings on Religion and Culture in Africa</t>
  </si>
  <si>
    <t>M and J Grand Orbit Communications</t>
  </si>
  <si>
    <t>DT14.R43 2016</t>
  </si>
  <si>
    <t>https://ebookcentral.proquest.com/lib/cam/detail.action?docID=4708919</t>
  </si>
  <si>
    <t>Maximum Feasible Participation : American Literature and the War on Poverty</t>
  </si>
  <si>
    <t>PS225 .S37 2018</t>
  </si>
  <si>
    <t>https://ebookcentral.proquest.com/lib/cam/detail.action?docID=5354311</t>
  </si>
  <si>
    <t>Race and Class in the Colonial Bahamas, 1880-1960</t>
  </si>
  <si>
    <t>F1660.A1 -- .S286 2016eb</t>
  </si>
  <si>
    <t>https://ebookcentral.proquest.com/lib/cam/detail.action?docID=4508946</t>
  </si>
  <si>
    <t>Masculine Identity in the Fiction of the Arab East Since 1967</t>
  </si>
  <si>
    <t>PJ7572.M37 -- A34 2009eb</t>
  </si>
  <si>
    <t>https://ebookcentral.proquest.com/lib/cam/detail.action?docID=3410083</t>
  </si>
  <si>
    <t>American Heathens : The Politics of Identity in a Pagan Religious Movement</t>
  </si>
  <si>
    <t>299/.940973</t>
  </si>
  <si>
    <t>BL432</t>
  </si>
  <si>
    <t>https://ebookcentral.proquest.com/lib/cam/detail.action?docID=2050828</t>
  </si>
  <si>
    <t>Challenged Hegemony : The United States, China, and Russia in the Persian Gulf</t>
  </si>
  <si>
    <t>DS326 .Y485 2018</t>
  </si>
  <si>
    <t>https://ebookcentral.proquest.com/lib/cam/detail.action?docID=5178038</t>
  </si>
  <si>
    <t>Women of the Midan : The Untold Stories of Egypt's Revolutionaries</t>
  </si>
  <si>
    <t>HQ1793 .H344 2019</t>
  </si>
  <si>
    <t>https://ebookcentral.proquest.com/lib/cam/detail.action?docID=5744485</t>
  </si>
  <si>
    <t>Specialized Ethnographic Methods : A Mixed Methods Approach</t>
  </si>
  <si>
    <t>AltaMira Press</t>
  </si>
  <si>
    <t>GN345 -- .S628 2013eb</t>
  </si>
  <si>
    <t>https://ebookcentral.proquest.com/lib/cam/detail.action?docID=1127710</t>
  </si>
  <si>
    <t>Making Peace in an Age of War : Emperor Ferdinand III (1608–1657)</t>
  </si>
  <si>
    <t>DD188.5 .H464 2019</t>
  </si>
  <si>
    <t>https://ebookcentral.proquest.com/lib/cam/detail.action?docID=5978704</t>
  </si>
  <si>
    <t>The Fifth Estate : Think Tanks, Public Policy, and Governance</t>
  </si>
  <si>
    <t>JK468.C7$bM39 2016</t>
  </si>
  <si>
    <t>https://ebookcentral.proquest.com/lib/cam/detail.action?docID=4549450</t>
  </si>
  <si>
    <t>Cather Studies, Volume 12 : Willa Cather and the Arts</t>
  </si>
  <si>
    <t>PS3505.A87 .W555 2020</t>
  </si>
  <si>
    <t>https://ebookcentral.proquest.com/lib/cam/detail.action?docID=5967773</t>
  </si>
  <si>
    <t>The Politics of Everyday Life in Gikuyu Popular Musice of Kenya 1990-2000</t>
  </si>
  <si>
    <t>Twaweza Communications</t>
  </si>
  <si>
    <t>BL570</t>
  </si>
  <si>
    <t>https://ebookcentral.proquest.com/lib/cam/detail.action?docID=1635454</t>
  </si>
  <si>
    <t>The Voice in the Drum : Music, Language, and Emotion in Islamicate South Asia</t>
  </si>
  <si>
    <t>780.88/2970954</t>
  </si>
  <si>
    <t>ML3197</t>
  </si>
  <si>
    <t>https://ebookcentral.proquest.com/lib/cam/detail.action?docID=3414413</t>
  </si>
  <si>
    <t>Chinese Funerary Biographies : An Anthology of Remembered Lives</t>
  </si>
  <si>
    <t>https://ebookcentral.proquest.com/lib/cam/detail.action?docID=5994651</t>
  </si>
  <si>
    <t>The Leopard, the Lion, and the Cock : Colonial Memories and Monuments in Belgium</t>
  </si>
  <si>
    <t>DH523 .S736 2019</t>
  </si>
  <si>
    <t>https://ebookcentral.proquest.com/lib/cam/detail.action?docID=5749877</t>
  </si>
  <si>
    <t>The Only Thing That Matters</t>
  </si>
  <si>
    <t>PS3610.E568.O55 201</t>
  </si>
  <si>
    <t>https://ebookcentral.proquest.com/lib/cam/detail.action?docID=3410134</t>
  </si>
  <si>
    <t>An Army in Crisis : Social Conflict and the U.S. Army in Germany, 1968–1975</t>
  </si>
  <si>
    <t>355.1/23094309047</t>
  </si>
  <si>
    <t>UA26.G3 .V393 2019</t>
  </si>
  <si>
    <t>https://ebookcentral.proquest.com/lib/cam/detail.action?docID=5847536</t>
  </si>
  <si>
    <t>Without the Novel : Romance and the History of Prose Fiction</t>
  </si>
  <si>
    <t>PN3491 .B533 2019</t>
  </si>
  <si>
    <t>https://ebookcentral.proquest.com/lib/cam/detail.action?docID=5824790</t>
  </si>
  <si>
    <t>The Design of Protest : Choreographing Political Demonstrations in Public Space</t>
  </si>
  <si>
    <t>720.1/03</t>
  </si>
  <si>
    <t>NA2543.S6 .H388 2018</t>
  </si>
  <si>
    <t>https://ebookcentral.proquest.com/lib/cam/detail.action?docID=5398047</t>
  </si>
  <si>
    <t>Watsuji on Nature : Japanese Philosophy in the Wake of Heidegger</t>
  </si>
  <si>
    <t>B5244</t>
  </si>
  <si>
    <t>https://ebookcentral.proquest.com/lib/cam/detail.action?docID=5790853</t>
  </si>
  <si>
    <t>Futures of the Contemporary : Contemporaneity, Untimeliness, and Artistic Research</t>
  </si>
  <si>
    <t>BH39 .F888 2019</t>
  </si>
  <si>
    <t>https://ebookcentral.proquest.com/lib/cam/detail.action?docID=5843904</t>
  </si>
  <si>
    <t>Reading Cy Twombly : Poetry in Paint</t>
  </si>
  <si>
    <t>ND237.T87</t>
  </si>
  <si>
    <t>https://ebookcentral.proquest.com/lib/cam/detail.action?docID=4635911</t>
  </si>
  <si>
    <t>Civil War Monuments and the Militarization of America</t>
  </si>
  <si>
    <t>E641 .B769 2019</t>
  </si>
  <si>
    <t>https://ebookcentral.proquest.com/lib/cam/detail.action?docID=5938751</t>
  </si>
  <si>
    <t>The Great Agrarian Conquest : The Colonial Reshaping of a Rural World</t>
  </si>
  <si>
    <t>Economics; Agriculture; Business/Management</t>
  </si>
  <si>
    <t>338.10954/5509034</t>
  </si>
  <si>
    <t>HD1516.I5 .B438 2019</t>
  </si>
  <si>
    <t>https://ebookcentral.proquest.com/lib/cam/detail.action?docID=5894442</t>
  </si>
  <si>
    <t>Wartime Sexual Violence : From Silence to Condemnation of a Weapon of War</t>
  </si>
  <si>
    <t>JZ6405.W66.C739 2017</t>
  </si>
  <si>
    <t>https://ebookcentral.proquest.com/lib/cam/detail.action?docID=4983516</t>
  </si>
  <si>
    <t>Death at the Edges of Empire : Fallen Soldiers, Cultural Memory, and the Making of an American Nation, 1863-1921</t>
  </si>
  <si>
    <t>https://ebookcentral.proquest.com/lib/cam/detail.action?docID=5995426</t>
  </si>
  <si>
    <t>Tropical Travels : Brazilian Popular Performance, Transnational Encounters, and the Construction of Race</t>
  </si>
  <si>
    <t>PN2471 .S539 2018</t>
  </si>
  <si>
    <t>https://ebookcentral.proquest.com/lib/cam/detail.action?docID=5181669</t>
  </si>
  <si>
    <t>National Pastimes : Cinema, Sports, and Nation</t>
  </si>
  <si>
    <t>PN1995.9.S67 .B669 2020</t>
  </si>
  <si>
    <t>https://ebookcentral.proquest.com/lib/cam/detail.action?docID=5964843</t>
  </si>
  <si>
    <t>Civil War Places : Seeing the Conflict Through the Eyes of Its Leading Historians</t>
  </si>
  <si>
    <t>E641 .C585 2019</t>
  </si>
  <si>
    <t>https://ebookcentral.proquest.com/lib/cam/detail.action?docID=5689064</t>
  </si>
  <si>
    <t>The Franciscan Invention of the New World</t>
  </si>
  <si>
    <t>https://ebookcentral.proquest.com/lib/cam/detail.action?docID=4751407</t>
  </si>
  <si>
    <t>The Product of Our Souls : Ragtime, Race, and the Birth of the Manhattan Musical Marketplace</t>
  </si>
  <si>
    <t>ML3479 -- .G55 2015eb</t>
  </si>
  <si>
    <t>https://ebookcentral.proquest.com/lib/cam/detail.action?docID=3039541</t>
  </si>
  <si>
    <t>Picturing Cuba : Art, Culture, and Identity on the Island and in the Diaspora</t>
  </si>
  <si>
    <t>NX525.A1 .P538 2019</t>
  </si>
  <si>
    <t>https://ebookcentral.proquest.com/lib/cam/detail.action?docID=5890981</t>
  </si>
  <si>
    <t>Avoiding War with China : Two Nations, One World</t>
  </si>
  <si>
    <t>E183.8.C5E79 2017</t>
  </si>
  <si>
    <t>https://ebookcentral.proquest.com/lib/cam/detail.action?docID=4841870</t>
  </si>
  <si>
    <t>God, Mystery, and Mystification</t>
  </si>
  <si>
    <t>230 .T876 2019</t>
  </si>
  <si>
    <t>https://ebookcentral.proquest.com/lib/cam/detail.action?docID=5928882</t>
  </si>
  <si>
    <t>The New Politics of Global Academic Mobility and Migration</t>
  </si>
  <si>
    <t>LB2326.3 -- .N49 2015eb</t>
  </si>
  <si>
    <t>https://ebookcentral.proquest.com/lib/cam/detail.action?docID=1888890</t>
  </si>
  <si>
    <t>Essential Israel : Essays for the 21st Century</t>
  </si>
  <si>
    <t>DS119.7.E86 2017eb</t>
  </si>
  <si>
    <t>https://ebookcentral.proquest.com/lib/cam/detail.action?docID=4813368</t>
  </si>
  <si>
    <t>The Contemplative Mind in the Scholarship of Teaching and Learning</t>
  </si>
  <si>
    <t>LB2331 .O946 2018</t>
  </si>
  <si>
    <t>https://ebookcentral.proquest.com/lib/cam/detail.action?docID=5150097</t>
  </si>
  <si>
    <t>Citizens in Motion : Emigration, Immigration, and Re-Migration Across China's Borders</t>
  </si>
  <si>
    <t>JV8701 .H6 2019</t>
  </si>
  <si>
    <t>https://ebookcentral.proquest.com/lib/cam/detail.action?docID=5529469</t>
  </si>
  <si>
    <t>The Manufacture of Consent : J. Edgar Hoover and the Rhetorical Rise of the FBI</t>
  </si>
  <si>
    <t>HV8144</t>
  </si>
  <si>
    <t>https://ebookcentral.proquest.com/lib/cam/detail.action?docID=5992905</t>
  </si>
  <si>
    <t>The Mind and the Machine : What It Means to Be Human and Why It Matters</t>
  </si>
  <si>
    <t>BT702.D53 2016</t>
  </si>
  <si>
    <t>https://ebookcentral.proquest.com/lib/cam/detail.action?docID=4835377</t>
  </si>
  <si>
    <t>Development Drowned and Reborn : The Blues and Bourbon Restorations in Post-Katrina New Orleans</t>
  </si>
  <si>
    <t>HN80.N45W65 2017</t>
  </si>
  <si>
    <t>https://ebookcentral.proquest.com/lib/cam/detail.action?docID=4874621</t>
  </si>
  <si>
    <t>From Schlemiel to Sabra : Zionist Masculinity and Palestinian Hebrew Literature</t>
  </si>
  <si>
    <t>https://ebookcentral.proquest.com/lib/cam/detail.action?docID=5772882</t>
  </si>
  <si>
    <t>Shaykh Yusuf Al-Qaradawi : Spiritual Mentor of Wasati Salafism</t>
  </si>
  <si>
    <t>BP80.Q357 .P655 2019</t>
  </si>
  <si>
    <t>https://ebookcentral.proquest.com/lib/cam/detail.action?docID=5830783</t>
  </si>
  <si>
    <t>The War on Slums in the Southwest : Public Housing and Slum Clearance in Texas, Arizona, and New Mexico, 1935-1965</t>
  </si>
  <si>
    <t>HD7303</t>
  </si>
  <si>
    <t>https://ebookcentral.proquest.com/lib/cam/detail.action?docID=1756013</t>
  </si>
  <si>
    <t>Pakistan Under Siege : Extremism, Society, and the State</t>
  </si>
  <si>
    <t>DS384 .A393 2018</t>
  </si>
  <si>
    <t>https://ebookcentral.proquest.com/lib/cam/detail.action?docID=5179985</t>
  </si>
  <si>
    <t>Discriminating Sex : White Leisure and the Making of the American Oriental</t>
  </si>
  <si>
    <t>HQ1075</t>
  </si>
  <si>
    <t>https://ebookcentral.proquest.com/lib/cam/detail.action?docID=5316953</t>
  </si>
  <si>
    <t>Jazz and Palm Wine</t>
  </si>
  <si>
    <t>843/.914</t>
  </si>
  <si>
    <t>PL8011.D664 2017</t>
  </si>
  <si>
    <t>https://ebookcentral.proquest.com/lib/cam/detail.action?docID=4835474</t>
  </si>
  <si>
    <t>Petrarch : The Canzoniere, or Rerum Vulgarium Fragmenta</t>
  </si>
  <si>
    <t>PN75.M87 -- P48 1996eb</t>
  </si>
  <si>
    <t>https://ebookcentral.proquest.com/lib/cam/detail.action?docID=1173324</t>
  </si>
  <si>
    <t>Contested Embrace : Transborder Membership Politics in Twentieth-Century Korea</t>
  </si>
  <si>
    <t>323.6089/957009045</t>
  </si>
  <si>
    <t>JV8757</t>
  </si>
  <si>
    <t>https://ebookcentral.proquest.com/lib/cam/detail.action?docID=4556842</t>
  </si>
  <si>
    <t>Mathematical Tablets from Tell Harmal</t>
  </si>
  <si>
    <t>https://ebookcentral.proquest.com/lib/cam/detail.action?docID=4092964</t>
  </si>
  <si>
    <t>Lincoln's Sense of Humor</t>
  </si>
  <si>
    <t>E457</t>
  </si>
  <si>
    <t>https://ebookcentral.proquest.com/lib/cam/detail.action?docID=5215431</t>
  </si>
  <si>
    <t>Manifesto of New Realism</t>
  </si>
  <si>
    <t>149/.2</t>
  </si>
  <si>
    <t>B835 -- .F4713 2014eb</t>
  </si>
  <si>
    <t>https://ebookcentral.proquest.com/lib/cam/detail.action?docID=3408969</t>
  </si>
  <si>
    <t>The Birth and Death of Literary Theory : Regimes of Relevance in Russia and Beyond</t>
  </si>
  <si>
    <t>801/.950947</t>
  </si>
  <si>
    <t>PN99.R9 .T543 2019</t>
  </si>
  <si>
    <t>https://ebookcentral.proquest.com/lib/cam/detail.action?docID=5779811</t>
  </si>
  <si>
    <t>How Nature Works : Rethinking Labor on a Troubled Planet</t>
  </si>
  <si>
    <t>https://ebookcentral.proquest.com/lib/cam/detail.action?docID=5896061</t>
  </si>
  <si>
    <t>Photography and Its Violations</t>
  </si>
  <si>
    <t>TR183 -- .R6324 2013eb</t>
  </si>
  <si>
    <t>https://ebookcentral.proquest.com/lib/cam/detail.action?docID=1801727</t>
  </si>
  <si>
    <t>Refiguring Minds in Narrative Media</t>
  </si>
  <si>
    <t>801/.95</t>
  </si>
  <si>
    <t>PN441 -- .C535 2015eb</t>
  </si>
  <si>
    <t>https://ebookcentral.proquest.com/lib/cam/detail.action?docID=4012431</t>
  </si>
  <si>
    <t>Changing Regimes and the Development of Education in Cameroon</t>
  </si>
  <si>
    <t>Spears Media Press,</t>
  </si>
  <si>
    <t>LA1851 .G836 2018</t>
  </si>
  <si>
    <t>https://ebookcentral.proquest.com/lib/cam/detail.action?docID=5626373</t>
  </si>
  <si>
    <t>Handbook of Narrative Analysis</t>
  </si>
  <si>
    <t>PN212 .H47 2019</t>
  </si>
  <si>
    <t>https://ebookcentral.proquest.com/lib/cam/detail.action?docID=5945871</t>
  </si>
  <si>
    <t>The Costs of Connection : How Data Is Colonizing Human Life and Appropriating It for Capitalism</t>
  </si>
  <si>
    <t>HM851 .C685 2019</t>
  </si>
  <si>
    <t>https://ebookcentral.proquest.com/lib/cam/detail.action?docID=5789180</t>
  </si>
  <si>
    <t>Rhetorics of Resistance : Opposition Journalism in Apartheid South Africa</t>
  </si>
  <si>
    <t>PN5477</t>
  </si>
  <si>
    <t>https://ebookcentral.proquest.com/lib/cam/detail.action?docID=5566750</t>
  </si>
  <si>
    <t>Word, Chant, and Song : Spiritual Transformation in Hinduism, Buddhism, Islam, and Sikhism</t>
  </si>
  <si>
    <t>Religion; Fine Arts</t>
  </si>
  <si>
    <t>ML3197 .C693 2019</t>
  </si>
  <si>
    <t>https://ebookcentral.proquest.com/lib/cam/detail.action?docID=5877949</t>
  </si>
  <si>
    <t>The Essential Caputo : Selected Writings</t>
  </si>
  <si>
    <t>B945.C141 .E874 2018</t>
  </si>
  <si>
    <t>https://ebookcentral.proquest.com/lib/cam/detail.action?docID=5214717</t>
  </si>
  <si>
    <t>Guide to the Contemporary Harp</t>
  </si>
  <si>
    <t>ML1005 .A933 2019</t>
  </si>
  <si>
    <t>https://ebookcentral.proquest.com/lib/cam/detail.action?docID=5717449</t>
  </si>
  <si>
    <t>Humor in Middle Eastern Cinema</t>
  </si>
  <si>
    <t>PN1993.5.M53 -- .H86 2014eb</t>
  </si>
  <si>
    <t>https://ebookcentral.proquest.com/lib/cam/detail.action?docID=3446587</t>
  </si>
  <si>
    <t>Lois Mcmaster Bujold</t>
  </si>
  <si>
    <t>https://ebookcentral.proquest.com/lib/cam/detail.action?docID=3440680</t>
  </si>
  <si>
    <t>Observation Points : The Visual Poetics of National Parks</t>
  </si>
  <si>
    <t>719/.320973</t>
  </si>
  <si>
    <t>P93.5 -- .O28 2012eb</t>
  </si>
  <si>
    <t>https://ebookcentral.proquest.com/lib/cam/detail.action?docID=976976</t>
  </si>
  <si>
    <t>The Profession of Widowhood : Widows, Pastoral Care, and Medieval Models of Holiness</t>
  </si>
  <si>
    <t>BV4528</t>
  </si>
  <si>
    <t>https://ebookcentral.proquest.com/lib/cam/detail.action?docID=5597800</t>
  </si>
  <si>
    <t>Art and Advertising in Buffalo Bill's Wild West</t>
  </si>
  <si>
    <t>NC1849.C57 .D453 2019</t>
  </si>
  <si>
    <t>https://ebookcentral.proquest.com/lib/cam/detail.action?docID=5848429</t>
  </si>
  <si>
    <t>Chinese Archery</t>
  </si>
  <si>
    <t>Fine Arts; Sport &amp;amp; Recreation</t>
  </si>
  <si>
    <t>790;799.3/2/0951;799.320951</t>
  </si>
  <si>
    <t>GV1188.C6 -- S45 2000eb</t>
  </si>
  <si>
    <t>https://ebookcentral.proquest.com/lib/cam/detail.action?docID=677530</t>
  </si>
  <si>
    <t>How to Live, What to Do : Thirteen Ways of Looking at Wallace Stevens</t>
  </si>
  <si>
    <t>PS3537</t>
  </si>
  <si>
    <t>https://ebookcentral.proquest.com/lib/cam/detail.action?docID=5224432</t>
  </si>
  <si>
    <t>The Last Fortress of Metaphysics : Jacques Derrida and the Deconstruction of Architecture</t>
  </si>
  <si>
    <t>B2430.D484 .V583 2018</t>
  </si>
  <si>
    <t>https://ebookcentral.proquest.com/lib/cam/detail.action?docID=5321263</t>
  </si>
  <si>
    <t>Eurasian Environments : Nature and Ecology in Imperial Russian and Soviet History</t>
  </si>
  <si>
    <t>GF601+</t>
  </si>
  <si>
    <t>https://ebookcentral.proquest.com/lib/cam/detail.action?docID=5574714</t>
  </si>
  <si>
    <t>Dreams Derailed : Undocumented Youths in the Trump Era</t>
  </si>
  <si>
    <t>JV6600</t>
  </si>
  <si>
    <t>https://ebookcentral.proquest.com/lib/cam/detail.action?docID=5500490</t>
  </si>
  <si>
    <t>Feminism for the Americas : The Making of an International Human Rights Movement</t>
  </si>
  <si>
    <t>305.42098/0904</t>
  </si>
  <si>
    <t>HQ1460.5 .M375 2019</t>
  </si>
  <si>
    <t>https://ebookcentral.proquest.com/lib/cam/detail.action?docID=5676511</t>
  </si>
  <si>
    <t>Borders of Belonging : Struggle and Solidarity in Mixed-Status Immigrant Families</t>
  </si>
  <si>
    <t>JV7100 .C378 2019</t>
  </si>
  <si>
    <t>https://ebookcentral.proquest.com/lib/cam/detail.action?docID=5625461</t>
  </si>
  <si>
    <t>The Third Sector : Community Organizations, NGOs, and Nonprofits</t>
  </si>
  <si>
    <t>HM766</t>
  </si>
  <si>
    <t>https://ebookcentral.proquest.com/lib/cam/detail.action?docID=4792743</t>
  </si>
  <si>
    <t>Paper Emperors : The Rise of Australia's Newspaper Empire</t>
  </si>
  <si>
    <t>PN4801 .Y686 2019</t>
  </si>
  <si>
    <t>https://ebookcentral.proquest.com/lib/cam/detail.action?docID=5735456</t>
  </si>
  <si>
    <t>From Social Movement to Moral Market : How the Circuit Riders Sparked an IT Revolution and Created a Technology Market</t>
  </si>
  <si>
    <t>303.48/40973</t>
  </si>
  <si>
    <t>HN59</t>
  </si>
  <si>
    <t>https://ebookcentral.proquest.com/lib/cam/detail.action?docID=1583991</t>
  </si>
  <si>
    <t>Economics in the Twenty-First Century : A Critical Perspective</t>
  </si>
  <si>
    <t>HB171.C527 2016eb</t>
  </si>
  <si>
    <t>https://ebookcentral.proquest.com/lib/cam/detail.action?docID=4669785</t>
  </si>
  <si>
    <t>Practices of Coexistence : Constructions of the Other in Early Modern Perceptions</t>
  </si>
  <si>
    <t>940.2/1</t>
  </si>
  <si>
    <t>CB361.P69 2017</t>
  </si>
  <si>
    <t>https://ebookcentral.proquest.com/lib/cam/detail.action?docID=4940222</t>
  </si>
  <si>
    <t>Working with the Ancestors : Mana and Place in the Marquesas Islands</t>
  </si>
  <si>
    <t>GN671.M3 .D663 2019</t>
  </si>
  <si>
    <t>https://ebookcentral.proquest.com/lib/cam/detail.action?docID=5785717</t>
  </si>
  <si>
    <t>Living with Oil and Coal : Resource Politics and Militarization in Northeast India</t>
  </si>
  <si>
    <t>Economics; Environmental Studies; Business/Management</t>
  </si>
  <si>
    <t>HD9506.I42 .K556 2019</t>
  </si>
  <si>
    <t>https://ebookcentral.proquest.com/lib/cam/detail.action?docID=5739621</t>
  </si>
  <si>
    <t>Ex-Centric Migrations : Europe and the Maghreb in Mediterranean Cinema, Literature, and Music</t>
  </si>
  <si>
    <t>PN1995.9.N66 -- .A234 2016eb</t>
  </si>
  <si>
    <t>https://ebookcentral.proquest.com/lib/cam/detail.action?docID=4529422</t>
  </si>
  <si>
    <t>Conjuring Property : Speculation and Environmental Futures in the Brazilian Amazon</t>
  </si>
  <si>
    <t>333.3/1811</t>
  </si>
  <si>
    <t>HD499.A44C36 2015</t>
  </si>
  <si>
    <t>https://ebookcentral.proquest.com/lib/cam/detail.action?docID=4305970</t>
  </si>
  <si>
    <t>NATO's Durability in a Post-Cold War World</t>
  </si>
  <si>
    <t>UA646.3 .B878 2018</t>
  </si>
  <si>
    <t>https://ebookcentral.proquest.com/lib/cam/detail.action?docID=5301695</t>
  </si>
  <si>
    <t>Metals in Past Societies : A Global Perspective on Indigenous African Metallurgy</t>
  </si>
  <si>
    <t>Engineering; Social Science; Engineering: Chemical</t>
  </si>
  <si>
    <t>https://ebookcentral.proquest.com/lib/cam/detail.action?docID=2095521</t>
  </si>
  <si>
    <t>Taking African Cartoons Seriously : Politics, Satire, and Culture</t>
  </si>
  <si>
    <t>NC1730</t>
  </si>
  <si>
    <t>https://ebookcentral.proquest.com/lib/cam/detail.action?docID=5485287</t>
  </si>
  <si>
    <t>Talking Politics? : What You Need to Know before Opening Your Mouth</t>
  </si>
  <si>
    <t>HN90.P8 -- .K466 2014eb</t>
  </si>
  <si>
    <t>https://ebookcentral.proquest.com/lib/cam/detail.action?docID=1698781</t>
  </si>
  <si>
    <t>Activating Democracy in Brazil : Popular Participation, Social Justice, and Interlocking Institutions</t>
  </si>
  <si>
    <t>JL2481</t>
  </si>
  <si>
    <t>https://ebookcentral.proquest.com/lib/cam/detail.action?docID=3441192</t>
  </si>
  <si>
    <t>The Lumbee Indians : An American Struggle</t>
  </si>
  <si>
    <t>975.6/004973</t>
  </si>
  <si>
    <t>E99.C91 .L68 2018</t>
  </si>
  <si>
    <t>https://ebookcentral.proquest.com/lib/cam/detail.action?docID=5484318</t>
  </si>
  <si>
    <t>Tyrants Writing Poetry</t>
  </si>
  <si>
    <t>PN51 .T973 2017</t>
  </si>
  <si>
    <t>https://ebookcentral.proquest.com/lib/cam/detail.action?docID=5217301</t>
  </si>
  <si>
    <t>Zouping Revisited : Adaptive Governance in a Chinese County</t>
  </si>
  <si>
    <t>320.951/14</t>
  </si>
  <si>
    <t>JS7365.Z668 .Z687 2018</t>
  </si>
  <si>
    <t>https://ebookcentral.proquest.com/lib/cam/detail.action?docID=5208455</t>
  </si>
  <si>
    <t>Reaping Something New : African American Transformations of Victorian Literature</t>
  </si>
  <si>
    <t>PS153.N5.H335 2017</t>
  </si>
  <si>
    <t>https://ebookcentral.proquest.com/lib/cam/detail.action?docID=4756762</t>
  </si>
  <si>
    <t>Hegel and Spinoza : Substance and Negativity</t>
  </si>
  <si>
    <t>https://ebookcentral.proquest.com/lib/cam/detail.action?docID=4874457</t>
  </si>
  <si>
    <t>Earthly Encounters : Sensation, Feminist Theory, and the Anthropocene</t>
  </si>
  <si>
    <t>Social Science; Psychology</t>
  </si>
  <si>
    <t>BF231 .C537 2019</t>
  </si>
  <si>
    <t>https://ebookcentral.proquest.com/lib/cam/detail.action?docID=5886370</t>
  </si>
  <si>
    <t>Cuban Underground Hip Hop : Black Thoughts, Black Revolution, Black Modernity</t>
  </si>
  <si>
    <t>F2659.N4H65 2015</t>
  </si>
  <si>
    <t>https://ebookcentral.proquest.com/lib/cam/detail.action?docID=4397275</t>
  </si>
  <si>
    <t>Tasteful Domesticity : Women's Rhetoric and the American Cookbook, 1790-1940</t>
  </si>
  <si>
    <t>Home Economics</t>
  </si>
  <si>
    <t>TX645</t>
  </si>
  <si>
    <t>https://ebookcentral.proquest.com/lib/cam/detail.action?docID=5355853</t>
  </si>
  <si>
    <t>Malleable Mara : Transformations of a Buddhist Symbol of Evil</t>
  </si>
  <si>
    <t>294.3/4216</t>
  </si>
  <si>
    <t>BQ4570.G66 .N534 2019</t>
  </si>
  <si>
    <t>https://ebookcentral.proquest.com/lib/cam/detail.action?docID=5718933</t>
  </si>
  <si>
    <t>Fiction As History : The Novel and the City in Modern North India</t>
  </si>
  <si>
    <t>891.4/309</t>
  </si>
  <si>
    <t>PK2037.D35 2019</t>
  </si>
  <si>
    <t>https://ebookcentral.proquest.com/lib/cam/detail.action?docID=5824792</t>
  </si>
  <si>
    <t>The Smugglers' World : Illicit Trade and Atlantic Communities in Eighteenth-Century Venezuela</t>
  </si>
  <si>
    <t>F2322 .C766 2018</t>
  </si>
  <si>
    <t>https://ebookcentral.proquest.com/lib/cam/detail.action?docID=5574864</t>
  </si>
  <si>
    <t>Nuclear Apartheid : The Quest for American Atomic Supremacy from World War II to the Present</t>
  </si>
  <si>
    <t>JZ5645.M33 2010</t>
  </si>
  <si>
    <t>https://ebookcentral.proquest.com/lib/cam/detail.action?docID=4322069</t>
  </si>
  <si>
    <t>In a Pure Muslim Land : Shi'ism Between Pakistan and the Middle East</t>
  </si>
  <si>
    <t>297.8/2095491</t>
  </si>
  <si>
    <t>BP192.7.P18 .F834 2019</t>
  </si>
  <si>
    <t>https://ebookcentral.proquest.com/lib/cam/detail.action?docID=5723974</t>
  </si>
  <si>
    <t>The Real Cyber War : The Political Economy of Internet Freedom</t>
  </si>
  <si>
    <t>303.48/33</t>
  </si>
  <si>
    <t>HM851</t>
  </si>
  <si>
    <t>https://ebookcentral.proquest.com/lib/cam/detail.action?docID=3414433</t>
  </si>
  <si>
    <t>Back to the Dance Itself : Phenomenologies of the Body in Performance</t>
  </si>
  <si>
    <t>GV1588</t>
  </si>
  <si>
    <t>https://ebookcentral.proquest.com/lib/cam/detail.action?docID=5589482</t>
  </si>
  <si>
    <t>The Pursuit of Happiness in the Founding Era : An Intellectual History</t>
  </si>
  <si>
    <t>History; Law</t>
  </si>
  <si>
    <t>KF4541</t>
  </si>
  <si>
    <t>https://ebookcentral.proquest.com/lib/cam/detail.action?docID=5709899</t>
  </si>
  <si>
    <t>Kenya's Past as Prologue : Voters, Violence and the 2013 General Election</t>
  </si>
  <si>
    <t>967.6/201</t>
  </si>
  <si>
    <t>DT433.565</t>
  </si>
  <si>
    <t>https://ebookcentral.proquest.com/lib/cam/detail.action?docID=2121697</t>
  </si>
  <si>
    <t>Feminist Phenomenology Futures</t>
  </si>
  <si>
    <t>B829.5 .F433 2017</t>
  </si>
  <si>
    <t>https://ebookcentral.proquest.com/lib/cam/detail.action?docID=5108586</t>
  </si>
  <si>
    <t>Break up the Anthropocene</t>
  </si>
  <si>
    <t>CB161 .M468 2019</t>
  </si>
  <si>
    <t>https://ebookcentral.proquest.com/lib/cam/detail.action?docID=5781038</t>
  </si>
  <si>
    <t>The Long Public Life of a Short Private Poem : Reading and Remembering Thomas Wyatt</t>
  </si>
  <si>
    <t>PR2402.T483 .M877 2019</t>
  </si>
  <si>
    <t>https://ebookcentral.proquest.com/lib/cam/detail.action?docID=5788248</t>
  </si>
  <si>
    <t>England in the Age of Shakespeare</t>
  </si>
  <si>
    <t>822.3/3</t>
  </si>
  <si>
    <t>PR2894 .B533 2019</t>
  </si>
  <si>
    <t>https://ebookcentral.proquest.com/lib/cam/detail.action?docID=5789194</t>
  </si>
  <si>
    <t>From Reading to Healing : Teaching Medical Professionalism through Literature</t>
  </si>
  <si>
    <t>R727.3 .F766 2019</t>
  </si>
  <si>
    <t>https://ebookcentral.proquest.com/lib/cam/detail.action?docID=5725783</t>
  </si>
  <si>
    <t>Country Soul : Making Music and Making Race in the American South</t>
  </si>
  <si>
    <t>781.642089/00976</t>
  </si>
  <si>
    <t>ML3477 -- .H844 2015eb</t>
  </si>
  <si>
    <t>https://ebookcentral.proquest.com/lib/cam/detail.action?docID=4322239</t>
  </si>
  <si>
    <t>The Scandal of Continuity in Middle East Anthropology : Form, Duration, Difference</t>
  </si>
  <si>
    <t>GN25 .S336 2019</t>
  </si>
  <si>
    <t>https://ebookcentral.proquest.com/lib/cam/detail.action?docID=5899534</t>
  </si>
  <si>
    <t>Speaking Face to Face : The Visionary Philosophy of María Lugones</t>
  </si>
  <si>
    <t>HQ1190 .S643 2019</t>
  </si>
  <si>
    <t>https://ebookcentral.proquest.com/lib/cam/detail.action?docID=5778077</t>
  </si>
  <si>
    <t>William S. Burroughs Cutting up the Century</t>
  </si>
  <si>
    <t>PS3552.U75 .W555 2019</t>
  </si>
  <si>
    <t>https://ebookcentral.proquest.com/lib/cam/detail.action?docID=5771529</t>
  </si>
  <si>
    <t>Give the Word : Responses to Werner Hamacher's "95 Theses on Philology"</t>
  </si>
  <si>
    <t>P33 .G584 2019</t>
  </si>
  <si>
    <t>https://ebookcentral.proquest.com/lib/cam/detail.action?docID=5790014</t>
  </si>
  <si>
    <t>Recollections of a Jewish Mathematician in Germany</t>
  </si>
  <si>
    <t>Springer Basel AG</t>
  </si>
  <si>
    <t>https://ebookcentral.proquest.com/lib/cam/detail.action?docID=4722679</t>
  </si>
  <si>
    <t>Local Self-Government and the Right to the City</t>
  </si>
  <si>
    <t>320.8/5</t>
  </si>
  <si>
    <t>JS78 -- .M346 2015eb</t>
  </si>
  <si>
    <t>https://ebookcentral.proquest.com/lib/cam/detail.action?docID=3433734</t>
  </si>
  <si>
    <t>Seams of Empire : Race and Radicalism in Puerto Rico and the United States</t>
  </si>
  <si>
    <t>F1983.A1 A43</t>
  </si>
  <si>
    <t>https://ebookcentral.proquest.com/lib/cam/detail.action?docID=4458126</t>
  </si>
  <si>
    <t>Oil and Water : Being Han in Xinjiang</t>
  </si>
  <si>
    <t>305.8951/0516</t>
  </si>
  <si>
    <t>DS793</t>
  </si>
  <si>
    <t>https://ebookcentral.proquest.com/lib/cam/detail.action?docID=4437764</t>
  </si>
  <si>
    <t>The Metaphysical Foundations of Love : Aquinas on Participation, Unity, and Union</t>
  </si>
  <si>
    <t>128/.46092</t>
  </si>
  <si>
    <t>https://ebookcentral.proquest.com/lib/cam/detail.action?docID=5567148</t>
  </si>
  <si>
    <t>Forgotten Vanguard : Informal Diplomacy and the Rise of United States-China Trade, 1972-1980</t>
  </si>
  <si>
    <t>382.0973/051</t>
  </si>
  <si>
    <t>HF1456.5.C6 .T355 2018</t>
  </si>
  <si>
    <t>https://ebookcentral.proquest.com/lib/cam/detail.action?docID=5310038</t>
  </si>
  <si>
    <t>The Root of Friendship : Self-Love and Self-Governance in Aquinas</t>
  </si>
  <si>
    <t>171/.3</t>
  </si>
  <si>
    <t>https://ebookcentral.proquest.com/lib/cam/detail.action?docID=3135165</t>
  </si>
  <si>
    <t>Black Girlhood in the Nineteenth Century</t>
  </si>
  <si>
    <t>305.896/07309034</t>
  </si>
  <si>
    <t>https://ebookcentral.proquest.com/lib/cam/detail.action?docID=4792696</t>
  </si>
  <si>
    <t>Handbook for Folklore and Ethnomusicology Fieldwork</t>
  </si>
  <si>
    <t>GR45.5 .G556 2019</t>
  </si>
  <si>
    <t>https://ebookcentral.proquest.com/lib/cam/detail.action?docID=5723961</t>
  </si>
  <si>
    <t>Researching Race in Education : Policy, Practice and Qualitative Research</t>
  </si>
  <si>
    <t>Information Age Publishing, Incorporated</t>
  </si>
  <si>
    <t>371.829/96073</t>
  </si>
  <si>
    <t>LC212.2 -- .R53 2014eb</t>
  </si>
  <si>
    <t>https://ebookcentral.proquest.com/lib/cam/detail.action?docID=3316018</t>
  </si>
  <si>
    <t>Cli-Fi : A Companion</t>
  </si>
  <si>
    <t>PN56.C612 .C554 2019</t>
  </si>
  <si>
    <t>https://ebookcentral.proquest.com/lib/cam/detail.action?docID=5840214</t>
  </si>
  <si>
    <t>Music Preferred : Essays in Musicology, Cultural History and Analysis in Honour of Harry White</t>
  </si>
  <si>
    <t>ML160 .M87 2018</t>
  </si>
  <si>
    <t>https://ebookcentral.proquest.com/lib/cam/detail.action?docID=5471625</t>
  </si>
  <si>
    <t>Women at Work in Twenty-First-Century European Cinema</t>
  </si>
  <si>
    <t>https://ebookcentral.proquest.com/lib/cam/detail.action?docID=5710019</t>
  </si>
  <si>
    <t>Forgotten under a Tropical Sun : War Stories by American Veterans in the Philippines, 1898-1913</t>
  </si>
  <si>
    <t>DS683.7.M333 2017</t>
  </si>
  <si>
    <t>https://ebookcentral.proquest.com/lib/cam/detail.action?docID=5064316</t>
  </si>
  <si>
    <t>State and Culture in Postcolonial Africa : Enchantings</t>
  </si>
  <si>
    <t>DT14.S738 2017</t>
  </si>
  <si>
    <t>https://ebookcentral.proquest.com/lib/cam/detail.action?docID=5109039</t>
  </si>
  <si>
    <t>Postcolonial Hauntologies : African Women's Discourses of the Female Body</t>
  </si>
  <si>
    <t>HQ1220.A35 .C659 2019</t>
  </si>
  <si>
    <t>https://ebookcentral.proquest.com/lib/cam/detail.action?docID=5745407</t>
  </si>
  <si>
    <t>Those Who Count : Expert Practicies of Roma Classification</t>
  </si>
  <si>
    <t>323.11914/97</t>
  </si>
  <si>
    <t>DX145.S873 2016</t>
  </si>
  <si>
    <t>https://ebookcentral.proquest.com/lib/cam/detail.action?docID=4716198</t>
  </si>
  <si>
    <t>Scars and Wounds : Film and Legacies of Trauma</t>
  </si>
  <si>
    <t>https://ebookcentral.proquest.com/lib/cam/detail.action?docID=4877781</t>
  </si>
  <si>
    <t>Personalist Papers</t>
  </si>
  <si>
    <t>BT701</t>
  </si>
  <si>
    <t>https://ebookcentral.proquest.com/lib/cam/detail.action?docID=3135048</t>
  </si>
  <si>
    <t>Making Icons : Repetition and the Female Image in Japanese Cinema, 1945–1964</t>
  </si>
  <si>
    <t>PN1993.5.J3.C638 2016</t>
  </si>
  <si>
    <t>https://ebookcentral.proquest.com/lib/cam/detail.action?docID=4724634</t>
  </si>
  <si>
    <t>The Discovery of Being and Thomas Aquinas</t>
  </si>
  <si>
    <t>B765.T54 .D57 2019</t>
  </si>
  <si>
    <t>https://ebookcentral.proquest.com/lib/cam/detail.action?docID=5928927</t>
  </si>
  <si>
    <t>Divine Variations : How Christian Thought Became Racial Science</t>
  </si>
  <si>
    <t>BT734 .K44 2018</t>
  </si>
  <si>
    <t>https://ebookcentral.proquest.com/lib/cam/detail.action?docID=5178027</t>
  </si>
  <si>
    <t>The Limits of Identity : Politics and Poetics in Latin America</t>
  </si>
  <si>
    <t>F1414.3.H38 2015</t>
  </si>
  <si>
    <t>https://ebookcentral.proquest.com/lib/cam/detail.action?docID=4401774</t>
  </si>
  <si>
    <t>Uproarious : How Feminists and Other Subversive Comics Speak Truth</t>
  </si>
  <si>
    <t>PN6149.S62 .W555 2019</t>
  </si>
  <si>
    <t>https://ebookcentral.proquest.com/lib/cam/detail.action?docID=5965329</t>
  </si>
  <si>
    <t>Managing Complexity : Economic Policy Cooperation after the Crisis</t>
  </si>
  <si>
    <t>HG3881 .M2987 2016</t>
  </si>
  <si>
    <t>https://ebookcentral.proquest.com/lib/cam/detail.action?docID=4305683</t>
  </si>
  <si>
    <t>To Feast on Us as Their Prey : Cannibalism and the Early Modern Atlantic</t>
  </si>
  <si>
    <t>394/.9091821</t>
  </si>
  <si>
    <t>GN409</t>
  </si>
  <si>
    <t>https://ebookcentral.proquest.com/lib/cam/detail.action?docID=5607529</t>
  </si>
  <si>
    <t>Hip Hop Beats, Indigenous Rhymes : Modernity and Hip Hop in Indigenous North America</t>
  </si>
  <si>
    <t>ML3531 .M397 2018</t>
  </si>
  <si>
    <t>https://ebookcentral.proquest.com/lib/cam/detail.action?docID=5341450</t>
  </si>
  <si>
    <t>Music, Education, and Religion : Intersections and Entanglements</t>
  </si>
  <si>
    <t>ML3921 .M875 2019</t>
  </si>
  <si>
    <t>https://ebookcentral.proquest.com/lib/cam/detail.action?docID=5894411</t>
  </si>
  <si>
    <t>Rembrandt's Religious Prints : The Feddersen Collection at the Snite Museum of Art</t>
  </si>
  <si>
    <t>NE2054.5.R4 .R674 2017</t>
  </si>
  <si>
    <t>https://ebookcentral.proquest.com/lib/cam/detail.action?docID=5452143</t>
  </si>
  <si>
    <t>Daytime Stars</t>
  </si>
  <si>
    <t>891.71/44</t>
  </si>
  <si>
    <t>PG3476</t>
  </si>
  <si>
    <t>https://ebookcentral.proquest.com/lib/cam/detail.action?docID=5471035</t>
  </si>
  <si>
    <t>Blood Will Tell : Native Americans and Assimilation Policy</t>
  </si>
  <si>
    <t>E98.E85.E455 2017</t>
  </si>
  <si>
    <t>https://ebookcentral.proquest.com/lib/cam/detail.action?docID=4882062</t>
  </si>
  <si>
    <t>Reshaping the Political Arena in Latin America : From Resisting Neoliberalism to the Second Incorporation</t>
  </si>
  <si>
    <t>F1410 .R474 2018</t>
  </si>
  <si>
    <t>https://ebookcentral.proquest.com/lib/cam/detail.action?docID=5399342</t>
  </si>
  <si>
    <t>Insufficient Funds : The Culture of Money in Low-Wage Transnational Families</t>
  </si>
  <si>
    <t>https://ebookcentral.proquest.com/lib/cam/detail.action?docID=1634054</t>
  </si>
  <si>
    <t>Arab Routes : Pathways to Syrian California</t>
  </si>
  <si>
    <t>F870.S98 .G835 2020</t>
  </si>
  <si>
    <t>https://ebookcentral.proquest.com/lib/cam/detail.action?docID=5899768</t>
  </si>
  <si>
    <t>Sunjata: a New Prose Version</t>
  </si>
  <si>
    <t>GR352.82.M34 -- .S865 2016eb</t>
  </si>
  <si>
    <t>https://ebookcentral.proquest.com/lib/cam/detail.action?docID=4557182</t>
  </si>
  <si>
    <t>Kenya's 2013 General Election : Stakes, Practices and Outcome</t>
  </si>
  <si>
    <t>JQ2947.A95.K49455 2015</t>
  </si>
  <si>
    <t>https://ebookcentral.proquest.com/lib/cam/detail.action?docID=5047906</t>
  </si>
  <si>
    <t>Citizen Participation in Decision Making : Towards Inclusive Development in Kenya</t>
  </si>
  <si>
    <t>JQ2947</t>
  </si>
  <si>
    <t>https://ebookcentral.proquest.com/lib/cam/detail.action?docID=1635453</t>
  </si>
  <si>
    <t>Intertextuality and Psychology in P. L. Travers’ «Mary Poppins» Books</t>
  </si>
  <si>
    <t>PR6039.R32 -- .K869 2014eb</t>
  </si>
  <si>
    <t>https://ebookcentral.proquest.com/lib/cam/detail.action?docID=1666223</t>
  </si>
  <si>
    <t>Jean-Luc Godard, Cinema Historian</t>
  </si>
  <si>
    <t>PN1998.3.G63 -- .W58 2013eb</t>
  </si>
  <si>
    <t>https://ebookcentral.proquest.com/lib/cam/detail.action?docID=1356383</t>
  </si>
  <si>
    <t>J.R.R. Tokein's Sanctifying Myth : Understanding Middle Earth</t>
  </si>
  <si>
    <t>ISI Books</t>
  </si>
  <si>
    <t>PR6039.O32.L63245 2009</t>
  </si>
  <si>
    <t>https://ebookcentral.proquest.com/lib/cam/detail.action?docID=3316174</t>
  </si>
  <si>
    <t>Animal Capital : Rendering Life in Biopolitical Times</t>
  </si>
  <si>
    <t>GR705 -- .S48 2009eb</t>
  </si>
  <si>
    <t>https://ebookcentral.proquest.com/lib/cam/detail.action?docID=445629</t>
  </si>
  <si>
    <t>Sweatshops at Sea : Merchant Seamen in the World's First Globalized Industry, from 1812 to the Present</t>
  </si>
  <si>
    <t>HD8039.S4 -- .F565 2011eb</t>
  </si>
  <si>
    <t>https://ebookcentral.proquest.com/lib/cam/detail.action?docID=4322014</t>
  </si>
  <si>
    <t>Branding Humanity : Competing Narratives of Rights, Violence, and Global Citizenship</t>
  </si>
  <si>
    <t>DT157.673 .F335 2019</t>
  </si>
  <si>
    <t>https://ebookcentral.proquest.com/lib/cam/detail.action?docID=5529471</t>
  </si>
  <si>
    <t>Taxing Blackness : Free Afromexican Tribute in Bourbon New Spain</t>
  </si>
  <si>
    <t>F1392</t>
  </si>
  <si>
    <t>https://ebookcentral.proquest.com/lib/cam/detail.action?docID=5675192</t>
  </si>
  <si>
    <t>The Price of Literature : The French Novel's Theoretical Turn</t>
  </si>
  <si>
    <t>PQ631</t>
  </si>
  <si>
    <t>https://ebookcentral.proquest.com/lib/cam/detail.action?docID=5642635</t>
  </si>
  <si>
    <t>Countering Terrorism : No Simple Solutions</t>
  </si>
  <si>
    <t>HV6431.C746 2017</t>
  </si>
  <si>
    <t>https://ebookcentral.proquest.com/lib/cam/detail.action?docID=4769059</t>
  </si>
  <si>
    <t>A Wealth of Thought : Franz Boas on Native American Art</t>
  </si>
  <si>
    <t>E78.N78.W435 1995</t>
  </si>
  <si>
    <t>https://ebookcentral.proquest.com/lib/cam/detail.action?docID=4987350</t>
  </si>
  <si>
    <t>War in the Land of True Peace : The Fight for Maya Sacred Places</t>
  </si>
  <si>
    <t>F1465.2.K5 .W663 2019</t>
  </si>
  <si>
    <t>https://ebookcentral.proquest.com/lib/cam/detail.action?docID=5770860</t>
  </si>
  <si>
    <t>At Home in the World : Women Writers and Public Life, from Austen to the Present</t>
  </si>
  <si>
    <t>PR149.P66.D533 2017</t>
  </si>
  <si>
    <t>https://ebookcentral.proquest.com/lib/cam/detail.action?docID=4802075</t>
  </si>
  <si>
    <t>Migration and Integration in Flanders : Multidisciplinary Perspectives</t>
  </si>
  <si>
    <t>JV8169.A2 .M547 2018</t>
  </si>
  <si>
    <t>https://ebookcentral.proquest.com/lib/cam/detail.action?docID=5398161</t>
  </si>
  <si>
    <t>Ghosts – or the (Nearly) Invisible : Spectral Phenomena in Literature and the Media</t>
  </si>
  <si>
    <t>809.2/51209375</t>
  </si>
  <si>
    <t>PN56.S8.G467 2016</t>
  </si>
  <si>
    <t>https://ebookcentral.proquest.com/lib/cam/detail.action?docID=4676839</t>
  </si>
  <si>
    <t>The Shadow of the Wall : Violence and Migration on the U. S. -Mexico Border</t>
  </si>
  <si>
    <t>JV7401</t>
  </si>
  <si>
    <t>https://ebookcentral.proquest.com/lib/cam/detail.action?docID=5288367</t>
  </si>
  <si>
    <t>The Theology of Louis Massignon</t>
  </si>
  <si>
    <t>BP49</t>
  </si>
  <si>
    <t>https://ebookcentral.proquest.com/lib/cam/detail.action?docID=4845305</t>
  </si>
  <si>
    <t>Scientific Pluralism Reconsidered : A New Approach to the (Dis)Unity of Science</t>
  </si>
  <si>
    <t>https://ebookcentral.proquest.com/lib/cam/detail.action?docID=4825593</t>
  </si>
  <si>
    <t>Modernism and Food Studies : Politics, Aesthetics, and the Avant-Garde</t>
  </si>
  <si>
    <t>PR149.F66 M63</t>
  </si>
  <si>
    <t>https://ebookcentral.proquest.com/lib/cam/detail.action?docID=5633039</t>
  </si>
  <si>
    <t>The Hibernensis : Book 1: a Study and Edition</t>
  </si>
  <si>
    <t>Law; Religion</t>
  </si>
  <si>
    <t>KBR1240</t>
  </si>
  <si>
    <t>https://ebookcentral.proquest.com/lib/cam/detail.action?docID=5928931</t>
  </si>
  <si>
    <t>Modes of Production and Archaeology</t>
  </si>
  <si>
    <t>HB97.5.M634 2017</t>
  </si>
  <si>
    <t>https://ebookcentral.proquest.com/lib/cam/detail.action?docID=4865669</t>
  </si>
  <si>
    <t>Latin American Migrations to the U. S. Heartland : Changing Social Landscapes in Middle America</t>
  </si>
  <si>
    <t>F358</t>
  </si>
  <si>
    <t>https://ebookcentral.proquest.com/lib/cam/detail.action?docID=3414245</t>
  </si>
  <si>
    <t>Athansius : A Theological Introduction</t>
  </si>
  <si>
    <t>https://ebookcentral.proquest.com/lib/cam/detail.action?docID=5602372</t>
  </si>
  <si>
    <t>King Chongjo, an Enlightened Despot in Early Modern Korea</t>
  </si>
  <si>
    <t>951.9/02092 B</t>
  </si>
  <si>
    <t>DS913.392.C53 .L685 2019</t>
  </si>
  <si>
    <t>https://ebookcentral.proquest.com/lib/cam/detail.action?docID=5741889</t>
  </si>
  <si>
    <t>Globalizing Music Education : A Framework</t>
  </si>
  <si>
    <t>MT1 .K478 2018</t>
  </si>
  <si>
    <t>https://ebookcentral.proquest.com/lib/cam/detail.action?docID=5327244</t>
  </si>
  <si>
    <t>Reframing Blackness and Black Solidarities Through Anti-Colonial and Decolonial Prisms</t>
  </si>
  <si>
    <t>https://ebookcentral.proquest.com/lib/cam/detail.action?docID=4863156</t>
  </si>
  <si>
    <t>Rethinking History, Science, and Religion : An Exploration of Conflict and the Complexity Principle</t>
  </si>
  <si>
    <t>261.5/5</t>
  </si>
  <si>
    <t>BL245</t>
  </si>
  <si>
    <t>https://ebookcentral.proquest.com/lib/cam/detail.action?docID=5916510</t>
  </si>
  <si>
    <t>Len Lye : A Biography</t>
  </si>
  <si>
    <t>Auckland University Press</t>
  </si>
  <si>
    <t>NX512.L94 -- H67 2001eb</t>
  </si>
  <si>
    <t>https://ebookcentral.proquest.com/lib/cam/detail.action?docID=1531132</t>
  </si>
  <si>
    <t>The Phenomenon of Anne Frank</t>
  </si>
  <si>
    <t>DS135.N4 .B376 2012</t>
  </si>
  <si>
    <t>https://ebookcentral.proquest.com/lib/cam/detail.action?docID=5314507</t>
  </si>
  <si>
    <t>Zimbabwe Will Never Be a Colony Again! : Sanctions and Anti-Imperialist Struggles in Zimbabwe</t>
  </si>
  <si>
    <t>HF1613.5 .M373 2019</t>
  </si>
  <si>
    <t>https://ebookcentral.proquest.com/lib/cam/detail.action?docID=5844771</t>
  </si>
  <si>
    <t>Zombiescapes and Phantom Zones : Ecocriticism and the Liminal from Invisible Man to the Walking Dead</t>
  </si>
  <si>
    <t>809.3/936</t>
  </si>
  <si>
    <t>PN3448</t>
  </si>
  <si>
    <t>https://ebookcentral.proquest.com/lib/cam/detail.action?docID=4716217</t>
  </si>
  <si>
    <t>Hebrew Gothic : History and the Poetics of Persecution</t>
  </si>
  <si>
    <t>PJ5029 .G786 2019</t>
  </si>
  <si>
    <t>https://ebookcentral.proquest.com/lib/cam/detail.action?docID=5894026</t>
  </si>
  <si>
    <t>Reconstructing the Old Country : American Jewry in the Post-Holocaust Decades</t>
  </si>
  <si>
    <t>E184.355 .R436 2017</t>
  </si>
  <si>
    <t>https://ebookcentral.proquest.com/lib/cam/detail.action?docID=5647930</t>
  </si>
  <si>
    <t>Maryland, My Maryland : Music and Patriotism during the American Civil War</t>
  </si>
  <si>
    <t>782.42/159909752</t>
  </si>
  <si>
    <t>ML3917.U6 .D38 2018</t>
  </si>
  <si>
    <t>https://ebookcentral.proquest.com/lib/cam/detail.action?docID=5606848</t>
  </si>
  <si>
    <t>The Chivalric Folk Tradition in Sicily : A History of Storytelling, Puppetry, Painted Carts and Other Arts</t>
  </si>
  <si>
    <t>GR177.S5C75 2014</t>
  </si>
  <si>
    <t>https://ebookcentral.proquest.com/lib/cam/detail.action?docID=1819257</t>
  </si>
  <si>
    <t>Farm Worker Futurism : Speculative Technologies of Resistance</t>
  </si>
  <si>
    <t>HD1527.C2 -- .M36 2016eb</t>
  </si>
  <si>
    <t>https://ebookcentral.proquest.com/lib/cam/detail.action?docID=4392077</t>
  </si>
  <si>
    <t>The Palestinian National Revival : In the Shadow of the Leadership Crisis, 1937-1967</t>
  </si>
  <si>
    <t>320.5409569409/045</t>
  </si>
  <si>
    <t>DS113.6 .S546 2018</t>
  </si>
  <si>
    <t>https://ebookcentral.proquest.com/lib/cam/detail.action?docID=5515158</t>
  </si>
  <si>
    <t>Gender, Sexuality and Migration in South Africa : Governing Morality</t>
  </si>
  <si>
    <t>https://ebookcentral.proquest.com/lib/cam/detail.action?docID=4791282</t>
  </si>
  <si>
    <t>A New City O/S : The Power of Open, Collaborative, and Distributed Governance</t>
  </si>
  <si>
    <t>JS78 .G653 2017</t>
  </si>
  <si>
    <t>https://ebookcentral.proquest.com/lib/cam/detail.action?docID=5179980</t>
  </si>
  <si>
    <t>The Little Crystalline Seed : The Ontological Significance of Mise en Abyme in Post-Heideggerian Thought</t>
  </si>
  <si>
    <t>190.9/04</t>
  </si>
  <si>
    <t>B841.4 .D535 2019</t>
  </si>
  <si>
    <t>https://ebookcentral.proquest.com/lib/cam/detail.action?docID=5784224</t>
  </si>
  <si>
    <t>Virginia Women : Their Lives and Times, Volume 1</t>
  </si>
  <si>
    <t>HQ1438.V5V57 2015</t>
  </si>
  <si>
    <t>https://ebookcentral.proquest.com/lib/cam/detail.action?docID=1953209</t>
  </si>
  <si>
    <t>Crescent City Girls : The Lives of Young Black Women in Segregated New Orleans</t>
  </si>
  <si>
    <t>305.48/896073076335</t>
  </si>
  <si>
    <t>F379.N59 -- .S566 2015eb</t>
  </si>
  <si>
    <t>https://ebookcentral.proquest.com/lib/cam/detail.action?docID=3571149</t>
  </si>
  <si>
    <t>Limits of a Text : Luke 23:34a as a Case Study in Theological Interpretation</t>
  </si>
  <si>
    <t>BS2595.52 -- .S77 2012eb</t>
  </si>
  <si>
    <t>https://ebookcentral.proquest.com/lib/cam/detail.action?docID=3155656</t>
  </si>
  <si>
    <t>The Case for Terence Rattigan, Playwright</t>
  </si>
  <si>
    <t>https://ebookcentral.proquest.com/lib/cam/detail.action?docID=4745459</t>
  </si>
  <si>
    <t>Necessarily Black : Cape Verdean Youth, Hip-Hop Culture, and a Critique of Identity</t>
  </si>
  <si>
    <t>305.896/658073</t>
  </si>
  <si>
    <t>https://ebookcentral.proquest.com/lib/cam/detail.action?docID=3433769</t>
  </si>
  <si>
    <t>Irish Questions and Jewish Questions : Crossovers in Culture</t>
  </si>
  <si>
    <t>DS135.I72I75 2018</t>
  </si>
  <si>
    <t>https://ebookcentral.proquest.com/lib/cam/detail.action?docID=5496135</t>
  </si>
  <si>
    <t>The Green and the Gray : The Irish in the Confederate States of America</t>
  </si>
  <si>
    <t>E585.I75 G56 2013</t>
  </si>
  <si>
    <t>https://ebookcentral.proquest.com/lib/cam/detail.action?docID=1663533</t>
  </si>
  <si>
    <t>Irish Nationalists in Boston : Catholicism and Conflict, 1900-1928</t>
  </si>
  <si>
    <t>History; Geography/Travel; Social Science</t>
  </si>
  <si>
    <t>305.8916/2074461</t>
  </si>
  <si>
    <t>F73</t>
  </si>
  <si>
    <t>https://ebookcentral.proquest.com/lib/cam/detail.action?docID=5372036</t>
  </si>
  <si>
    <t>Relocated Memories : The Great Famine in Irish and Diaspora Fiction, 1846-1870</t>
  </si>
  <si>
    <t>PR8722.F33</t>
  </si>
  <si>
    <t>https://ebookcentral.proquest.com/lib/cam/detail.action?docID=4850969</t>
  </si>
  <si>
    <t>South Central Is Home : Race and the Power of Community Investment in Los Angeles</t>
  </si>
  <si>
    <t>F869.L86 .R673 2019</t>
  </si>
  <si>
    <t>https://ebookcentral.proquest.com/lib/cam/detail.action?docID=5779774</t>
  </si>
  <si>
    <t>The Michel Henry Reader</t>
  </si>
  <si>
    <t>B2430</t>
  </si>
  <si>
    <t>https://ebookcentral.proquest.com/lib/cam/detail.action?docID=5841421</t>
  </si>
  <si>
    <t>Society, Women and Literature in Africa</t>
  </si>
  <si>
    <t>PN56.F46 -- .O733 2015eb</t>
  </si>
  <si>
    <t>https://ebookcentral.proquest.com/lib/cam/detail.action?docID=4560548</t>
  </si>
  <si>
    <t>The War of the Wheels : H. G. Wells and the Bicycle</t>
  </si>
  <si>
    <t>PR5777</t>
  </si>
  <si>
    <t>https://ebookcentral.proquest.com/lib/cam/detail.action?docID=4850972</t>
  </si>
  <si>
    <t>Skimmed : Breastfeeding, Race, and Injustice</t>
  </si>
  <si>
    <t>Medicine; Health</t>
  </si>
  <si>
    <t>RJ216 .F744 2019</t>
  </si>
  <si>
    <t>https://ebookcentral.proquest.com/lib/cam/detail.action?docID=5899532</t>
  </si>
  <si>
    <t>Sensorial Aesthetics in Music Practices</t>
  </si>
  <si>
    <t>ML3845 .S467 2019</t>
  </si>
  <si>
    <t>https://ebookcentral.proquest.com/lib/cam/detail.action?docID=5843905</t>
  </si>
  <si>
    <t>Hard Target : Sanctions, Inducements, and the Case of North Korea</t>
  </si>
  <si>
    <t>Political Science; Business/Management</t>
  </si>
  <si>
    <t>327.1/17095193</t>
  </si>
  <si>
    <t>HF1602.6.H34 2017</t>
  </si>
  <si>
    <t>https://ebookcentral.proquest.com/lib/cam/detail.action?docID=4868975</t>
  </si>
  <si>
    <t>Living Sharia : Law and Practice in Malaysia</t>
  </si>
  <si>
    <t>KEY</t>
  </si>
  <si>
    <t>https://ebookcentral.proquest.com/lib/cam/detail.action?docID=5150760</t>
  </si>
  <si>
    <t>Marriage, Dowry, and Citizenship in Late Medieval and Renaissance Italy</t>
  </si>
  <si>
    <t>Law; History</t>
  </si>
  <si>
    <t>KKH542</t>
  </si>
  <si>
    <t>https://ebookcentral.proquest.com/lib/cam/detail.action?docID=4669805</t>
  </si>
  <si>
    <t>A Rich and Tantalizing Brew : A History of How Coffee Connected the World</t>
  </si>
  <si>
    <t>394.1/2</t>
  </si>
  <si>
    <t>GT2918</t>
  </si>
  <si>
    <t>https://ebookcentral.proquest.com/lib/cam/detail.action?docID=5603792</t>
  </si>
  <si>
    <t>Making Intangible Heritage : El Condor Pasa and Other Stories from UNESCO</t>
  </si>
  <si>
    <t>General Works/Reference; Law</t>
  </si>
  <si>
    <t>AS4.U83 .V353 2018</t>
  </si>
  <si>
    <t>https://ebookcentral.proquest.com/lib/cam/detail.action?docID=5497174</t>
  </si>
  <si>
    <t>Revolutionaries for the Right : Anticommunist Internationalism and Paramilitary Warfare in the Cold War</t>
  </si>
  <si>
    <t>HX44 .B875 2018</t>
  </si>
  <si>
    <t>https://ebookcentral.proquest.com/lib/cam/detail.action?docID=5347159</t>
  </si>
  <si>
    <t>Human Agency and Behavioral Economics : Nudging Fast and Slow</t>
  </si>
  <si>
    <t>https://ebookcentral.proquest.com/lib/cam/detail.action?docID=4855822</t>
  </si>
  <si>
    <t>Religion, Occult and Youth Conflict in the Niger Delta of Nigeria</t>
  </si>
  <si>
    <t>DT515.9.N4.A584 2017</t>
  </si>
  <si>
    <t>https://ebookcentral.proquest.com/lib/cam/detail.action?docID=4838313</t>
  </si>
  <si>
    <t>Philosophy in Culture : A Cross-Cultural Perspective</t>
  </si>
  <si>
    <t>HM621.P45 2016</t>
  </si>
  <si>
    <t>https://ebookcentral.proquest.com/lib/cam/detail.action?docID=4708902</t>
  </si>
  <si>
    <t>Violence, Peace and Everyday Modes of Justice and Healing in Post-Colonial Africa</t>
  </si>
  <si>
    <t>HN780.Z9 .V565 2019</t>
  </si>
  <si>
    <t>https://ebookcentral.proquest.com/lib/cam/detail.action?docID=5732667</t>
  </si>
  <si>
    <t>Europe in Revolt : Mapping the New European Left</t>
  </si>
  <si>
    <t>Haymarket Books</t>
  </si>
  <si>
    <t>HN373.5.E976 2016eb</t>
  </si>
  <si>
    <t>https://ebookcentral.proquest.com/lib/cam/detail.action?docID=4548604</t>
  </si>
  <si>
    <t>Toni Morrison and the Maternal : From «the Bluest Eye» to «God Help the Child», Revised Edition</t>
  </si>
  <si>
    <t>Peter Lang Publishing, Incorporated</t>
  </si>
  <si>
    <t>PS3563.O8749 .W346 2019</t>
  </si>
  <si>
    <t>https://ebookcentral.proquest.com/lib/cam/detail.action?docID=5798962</t>
  </si>
  <si>
    <t>Kika Kila : How the Hawaiian Steel Guitar Changed the Sound of Modern Music</t>
  </si>
  <si>
    <t>ML1015.G9T76 2016</t>
  </si>
  <si>
    <t>https://ebookcentral.proquest.com/lib/cam/detail.action?docID=4443624</t>
  </si>
  <si>
    <t>From Pugwash to Putin : A Critical History of US-Soviet Scientific Cooperation</t>
  </si>
  <si>
    <t>History; Science: General</t>
  </si>
  <si>
    <t>https://ebookcentral.proquest.com/lib/cam/detail.action?docID=5789192</t>
  </si>
  <si>
    <t>Populism and Performance in the Bolivarian Revolution of Venezuela</t>
  </si>
  <si>
    <t>https://ebookcentral.proquest.com/lib/cam/detail.action?docID=5252852</t>
  </si>
  <si>
    <t>Hammer and Hoe : Alabama Communists During the Great Depression</t>
  </si>
  <si>
    <t>HX91.A2 -- .K455 2015eb</t>
  </si>
  <si>
    <t>https://ebookcentral.proquest.com/lib/cam/detail.action?docID=3571161</t>
  </si>
  <si>
    <t>Tortured Life of Scofield Thayer</t>
  </si>
  <si>
    <t>PS3539.H175 -- .D467 2014eb</t>
  </si>
  <si>
    <t>https://ebookcentral.proquest.com/lib/cam/detail.action?docID=1633899</t>
  </si>
  <si>
    <t>Espionage, Statecraft, and the Theory of Reporting : A Philosophical Essay on Intelligence Management</t>
  </si>
  <si>
    <t>BD161 .R473 2018</t>
  </si>
  <si>
    <t>https://ebookcentral.proquest.com/lib/cam/detail.action?docID=5208910</t>
  </si>
  <si>
    <t>Spirituals and the Birth of a Black Entertainment Industry</t>
  </si>
  <si>
    <t>ML3556</t>
  </si>
  <si>
    <t>https://ebookcentral.proquest.com/lib/cam/detail.action?docID=5330140</t>
  </si>
  <si>
    <t>Alabama Women : Their Lives and Times</t>
  </si>
  <si>
    <t>HQ1438.A2A43 2017</t>
  </si>
  <si>
    <t>https://ebookcentral.proquest.com/lib/cam/detail.action?docID=4865007</t>
  </si>
  <si>
    <t>In Search of Our Warrior Mothers : Women Dramatists of the Black Arts Movement</t>
  </si>
  <si>
    <t>812/.54099287/08996073</t>
  </si>
  <si>
    <t>PS153</t>
  </si>
  <si>
    <t>https://ebookcentral.proquest.com/lib/cam/detail.action?docID=5288391</t>
  </si>
  <si>
    <t>Historical Archaeology of Early Modern Colonialism in Asia-Pacific : The Asia-Pacific Region</t>
  </si>
  <si>
    <t>JV185 .H578 2017</t>
  </si>
  <si>
    <t>https://ebookcentral.proquest.com/lib/cam/detail.action?docID=5188187</t>
  </si>
  <si>
    <t>The Archaeology of Removal in North America</t>
  </si>
  <si>
    <t>HB1951 .A73</t>
  </si>
  <si>
    <t>https://ebookcentral.proquest.com/lib/cam/detail.action?docID=5788803</t>
  </si>
  <si>
    <t>Justice for Some : Law and the Question of Palestine</t>
  </si>
  <si>
    <t>KMK2107.M56 .E735 2019</t>
  </si>
  <si>
    <t>https://ebookcentral.proquest.com/lib/cam/detail.action?docID=5703762</t>
  </si>
  <si>
    <t>This Perversion Called Love : Reading Tanizaki, Feminist Theory, and Freud</t>
  </si>
  <si>
    <t>895.6/344</t>
  </si>
  <si>
    <t>PL839</t>
  </si>
  <si>
    <t>https://ebookcentral.proquest.com/lib/cam/detail.action?docID=483438</t>
  </si>
  <si>
    <t>New Critical Spaces in Transitional Justice : Gender, Art, and Memory</t>
  </si>
  <si>
    <t>JC571.N464 2019</t>
  </si>
  <si>
    <t>https://ebookcentral.proquest.com/lib/cam/detail.action?docID=5652173</t>
  </si>
  <si>
    <t>Cultures of Doing Good : Anthropologists and NGOs</t>
  </si>
  <si>
    <t>JZ4841</t>
  </si>
  <si>
    <t>https://ebookcentral.proquest.com/lib/cam/detail.action?docID=5153816</t>
  </si>
  <si>
    <t>Bound Feet, Young Hands : Tracking the Demise of Footbinding in Village China</t>
  </si>
  <si>
    <t>391.4/130951</t>
  </si>
  <si>
    <t>GT498</t>
  </si>
  <si>
    <t>https://ebookcentral.proquest.com/lib/cam/detail.action?docID=4749833</t>
  </si>
  <si>
    <t>From Gutenberg to Google : The History of Our Future</t>
  </si>
  <si>
    <t>Computer Science/IT; History</t>
  </si>
  <si>
    <t>https://ebookcentral.proquest.com/lib/cam/detail.action?docID=5233952</t>
  </si>
  <si>
    <t>The Work of Art : Value in Creative Careers</t>
  </si>
  <si>
    <t>N6512.7.G47 2017</t>
  </si>
  <si>
    <t>https://ebookcentral.proquest.com/lib/cam/detail.action?docID=5130720</t>
  </si>
  <si>
    <t>A Promising Problem : The New Chicana/o History</t>
  </si>
  <si>
    <t>PN1995.9.S26B67 2015</t>
  </si>
  <si>
    <t>https://ebookcentral.proquest.com/lib/cam/detail.action?docID=4397294</t>
  </si>
  <si>
    <t>Unmastering the Script : Education, Critical Race Theory, and the Struggle to Reconcile the Haitian Other in Dominican Identity</t>
  </si>
  <si>
    <t>F1941</t>
  </si>
  <si>
    <t>https://ebookcentral.proquest.com/lib/cam/detail.action?docID=5854873</t>
  </si>
  <si>
    <t>Imperfect Fit : Aesthetic Function, Facture, and Perception in Art and Writing Since 1950</t>
  </si>
  <si>
    <t>809/.93357</t>
  </si>
  <si>
    <t>PN53</t>
  </si>
  <si>
    <t>https://ebookcentral.proquest.com/lib/cam/detail.action?docID=4719476</t>
  </si>
  <si>
    <t>Rethinking Rufus : Sexual Violations of Enslaved Men</t>
  </si>
  <si>
    <t>E443 .F678 2019</t>
  </si>
  <si>
    <t>https://ebookcentral.proquest.com/lib/cam/detail.action?docID=5781321</t>
  </si>
  <si>
    <t>The Monkhood of All Believers : The Monastic Foundation of Christian Spirituality</t>
  </si>
  <si>
    <t>BX2432.3 .P484 2018</t>
  </si>
  <si>
    <t>https://ebookcentral.proquest.com/lib/cam/detail.action?docID=5717409</t>
  </si>
  <si>
    <t>The Black Butterfly : Brazilian Slavery and the Literary Imagination</t>
  </si>
  <si>
    <t>869.09/35881</t>
  </si>
  <si>
    <t>PQ9550</t>
  </si>
  <si>
    <t>https://ebookcentral.proquest.com/lib/cam/detail.action?docID=5880649</t>
  </si>
  <si>
    <t>Praying with the Senses : Contemporary Orthodox Christian Spirituality in Practice</t>
  </si>
  <si>
    <t>BX382 .P739 2018</t>
  </si>
  <si>
    <t>https://ebookcentral.proquest.com/lib/cam/detail.action?docID=5161973</t>
  </si>
  <si>
    <t>Bodies of Truth : Personal Narratives on Illness, Disability, and Medicine</t>
  </si>
  <si>
    <t>Health; History</t>
  </si>
  <si>
    <t>https://ebookcentral.proquest.com/lib/cam/detail.action?docID=5606851</t>
  </si>
  <si>
    <t>The Comedy Studies Reader</t>
  </si>
  <si>
    <t>PN1995.9.C55 .C664 2018</t>
  </si>
  <si>
    <t>https://ebookcentral.proquest.com/lib/cam/detail.action?docID=5398043</t>
  </si>
  <si>
    <t>Immigration, Emigration, and Migration : Nomos Lvii</t>
  </si>
  <si>
    <t>JV6483.I55429 2017</t>
  </si>
  <si>
    <t>https://ebookcentral.proquest.com/lib/cam/detail.action?docID=4500702</t>
  </si>
  <si>
    <t>Strong Soldiers, Failed Revolution : The State and Military in Burma, 1962-88</t>
  </si>
  <si>
    <t>DS530.6 .N353 2013</t>
  </si>
  <si>
    <t>https://ebookcentral.proquest.com/lib/cam/detail.action?docID=5718211</t>
  </si>
  <si>
    <t>Black in Place : The Spatial Aesthetics of Race in a Post-Chocolate City</t>
  </si>
  <si>
    <t>HT177.W3 .S866 2019</t>
  </si>
  <si>
    <t>https://ebookcentral.proquest.com/lib/cam/detail.action?docID=5894019</t>
  </si>
  <si>
    <t>Alfred Loisy and Modern Biblical Studies</t>
  </si>
  <si>
    <t>https://ebookcentral.proquest.com/lib/cam/detail.action?docID=5667615</t>
  </si>
  <si>
    <t>Egypt's Lost Spring : Causes and Consequences</t>
  </si>
  <si>
    <t>962.05/6</t>
  </si>
  <si>
    <t>DT107.88.K43 2015</t>
  </si>
  <si>
    <t>https://ebookcentral.proquest.com/lib/cam/detail.action?docID=2079285</t>
  </si>
  <si>
    <t>Jesus Becoming Jesus : A Theological Interpretation of the Synoptic Gospels</t>
  </si>
  <si>
    <t>226/.06</t>
  </si>
  <si>
    <t>BS2555</t>
  </si>
  <si>
    <t>https://ebookcentral.proquest.com/lib/cam/detail.action?docID=5354272</t>
  </si>
  <si>
    <t>Godard and the Essay Film : A Form That Thinks</t>
  </si>
  <si>
    <t>https://ebookcentral.proquest.com/lib/cam/detail.action?docID=5403734</t>
  </si>
  <si>
    <t>Strangers and Friends at the Welcome Table : Contemporary Christianities in the American South</t>
  </si>
  <si>
    <t>BR535 .H836 2018</t>
  </si>
  <si>
    <t>https://ebookcentral.proquest.com/lib/cam/detail.action?docID=5325560</t>
  </si>
  <si>
    <t>I Am Because We Are : Readings in Africana Philosophy</t>
  </si>
  <si>
    <t>DT15.I15 2016</t>
  </si>
  <si>
    <t>https://ebookcentral.proquest.com/lib/cam/detail.action?docID=4744414</t>
  </si>
  <si>
    <t>Fort St. Joseph Revealed : The Historical Archaeology of a Fur Trading Post</t>
  </si>
  <si>
    <t>HD9944.U46 M544 2019</t>
  </si>
  <si>
    <t>https://ebookcentral.proquest.com/lib/cam/detail.action?docID=5836785</t>
  </si>
  <si>
    <t>Jeffersonians in Power : The Rhetoric of Opposition Meets the Realities of Governing</t>
  </si>
  <si>
    <t>E332 .J444 2019</t>
  </si>
  <si>
    <t>https://ebookcentral.proquest.com/lib/cam/detail.action?docID=5847217</t>
  </si>
  <si>
    <t>Lincoln and the Abolitionists</t>
  </si>
  <si>
    <t>https://ebookcentral.proquest.com/lib/cam/detail.action?docID=5351283</t>
  </si>
  <si>
    <t>Paupers, Poor Relief &amp; Poor Houses in Western Australia 1829-1910</t>
  </si>
  <si>
    <t>The University of Western Australia Publishing</t>
  </si>
  <si>
    <t>HC610 .P6 H48 2009</t>
  </si>
  <si>
    <t>https://ebookcentral.proquest.com/lib/cam/detail.action?docID=648109</t>
  </si>
  <si>
    <t>The Sky of Our Manufacture : The London Fog in British Fiction from Dickens to Woolf</t>
  </si>
  <si>
    <t>823/.80936</t>
  </si>
  <si>
    <t>PR878.S57 -- .T39 2016eb</t>
  </si>
  <si>
    <t>https://ebookcentral.proquest.com/lib/cam/detail.action?docID=4453870</t>
  </si>
  <si>
    <t>Alternative Performativity of Muslimness : The Intersection of Race, Gender, Religion, and Migration</t>
  </si>
  <si>
    <t>https://ebookcentral.proquest.com/lib/cam/detail.action?docID=4794257</t>
  </si>
  <si>
    <t>Giving Way : Thoughts on Unappreciated Dispositions</t>
  </si>
  <si>
    <t>BJ1533.C9 .C666 2019</t>
  </si>
  <si>
    <t>https://ebookcentral.proquest.com/lib/cam/detail.action?docID=5854932</t>
  </si>
  <si>
    <t>Mina Loy's Critical Modernism</t>
  </si>
  <si>
    <t>PS3523.O975 Z88</t>
  </si>
  <si>
    <t>https://ebookcentral.proquest.com/lib/cam/detail.action?docID=5755608</t>
  </si>
  <si>
    <t>Life Inside the Cloister : Understanding Monastic Architecture: Tradition, Reformation, Adaptive Reuse</t>
  </si>
  <si>
    <t>NA4850 .C666 2018</t>
  </si>
  <si>
    <t>https://ebookcentral.proquest.com/lib/cam/detail.action?docID=5437152</t>
  </si>
  <si>
    <t>The Hibernensis : Book 2: Translation, Commentary, and Indexes</t>
  </si>
  <si>
    <t>Religion; Law</t>
  </si>
  <si>
    <t>KBR160 .H534 2019</t>
  </si>
  <si>
    <t>https://ebookcentral.proquest.com/lib/cam/detail.action?docID=5928929</t>
  </si>
  <si>
    <t>Reading the Hebrew Bible with Animal Studies</t>
  </si>
  <si>
    <t>BS1199.A57.S766 2018</t>
  </si>
  <si>
    <t>https://ebookcentral.proquest.com/lib/cam/detail.action?docID=5050676</t>
  </si>
  <si>
    <t>Mapping the Landscape, Remapping the Text : Spanish Poetry from Antonio Machado's Campos de Castilla to the First Avant-Garde (1909-1925)</t>
  </si>
  <si>
    <t>PQ6085.S55 2013</t>
  </si>
  <si>
    <t>https://ebookcentral.proquest.com/lib/cam/detail.action?docID=4851489</t>
  </si>
  <si>
    <t>Lost City, Found Pyramid : Understanding Alternative Archaeologies and Pseudoscientific Practices</t>
  </si>
  <si>
    <t>CC175</t>
  </si>
  <si>
    <t>https://ebookcentral.proquest.com/lib/cam/detail.action?docID=4571563</t>
  </si>
  <si>
    <t>Pulpit and Nation : Clergymen and the Politics of Revolutionary America</t>
  </si>
  <si>
    <t>E208.M337 2016</t>
  </si>
  <si>
    <t>https://ebookcentral.proquest.com/lib/cam/detail.action?docID=4755336</t>
  </si>
  <si>
    <t>Thomas Hobbes</t>
  </si>
  <si>
    <t>Philosophy; Political Science</t>
  </si>
  <si>
    <t>JC153.H66 -- .H644 2015eb</t>
  </si>
  <si>
    <t>https://ebookcentral.proquest.com/lib/cam/detail.action?docID=4396573</t>
  </si>
  <si>
    <t>Parting Words : Victorian Poetry and Public Address</t>
  </si>
  <si>
    <t>PR590 .S534 2018</t>
  </si>
  <si>
    <t>https://ebookcentral.proquest.com/lib/cam/detail.action?docID=5558414</t>
  </si>
  <si>
    <t>Pedagogy and Practice in Heritage Studies</t>
  </si>
  <si>
    <t>CC135 .P423 2019</t>
  </si>
  <si>
    <t>https://ebookcentral.proquest.com/lib/cam/detail.action?docID=5652128</t>
  </si>
  <si>
    <t>The Epistle of Forgiveness : Volumes One and Two</t>
  </si>
  <si>
    <t>BJ1476.A28 2016</t>
  </si>
  <si>
    <t>https://ebookcentral.proquest.com/lib/cam/detail.action?docID=4045273</t>
  </si>
  <si>
    <t>Sexuality and Socialism : History, Politics, and Theory of LGBT Liberation</t>
  </si>
  <si>
    <t>HQ76.5 -- .W65 2009eb</t>
  </si>
  <si>
    <t>https://ebookcentral.proquest.com/lib/cam/detail.action?docID=3028252</t>
  </si>
  <si>
    <t>Why Should I Write a Poem Now : The Letters of Srinivas Rayaprol and William Carlos Williams, 1949-1958</t>
  </si>
  <si>
    <t>811.52 B</t>
  </si>
  <si>
    <t>PS3545.I544 .W49 2018</t>
  </si>
  <si>
    <t>https://ebookcentral.proquest.com/lib/cam/detail.action?docID=5568180</t>
  </si>
  <si>
    <t>Dada Presentism : An Essay on Art and History</t>
  </si>
  <si>
    <t>709.04/062</t>
  </si>
  <si>
    <t>NX550</t>
  </si>
  <si>
    <t>https://ebookcentral.proquest.com/lib/cam/detail.action?docID=4414684</t>
  </si>
  <si>
    <t>Because We Are Human : Contesting US Support for Gender and Sexuality Human Rights Abroad</t>
  </si>
  <si>
    <t>HQ76.5 .B87 2018</t>
  </si>
  <si>
    <t>https://ebookcentral.proquest.com/lib/cam/detail.action?docID=5396578</t>
  </si>
  <si>
    <t>Making Climate Change History : Documents from Global Warming's Past</t>
  </si>
  <si>
    <t>WEB</t>
  </si>
  <si>
    <t>https://ebookcentral.proquest.com/lib/cam/detail.action?docID=4987349</t>
  </si>
  <si>
    <t>Machiavelli's Secret : The Soul of the Statesman</t>
  </si>
  <si>
    <t>Political Science; Philosophy</t>
  </si>
  <si>
    <t>JC143.M4B387 2015</t>
  </si>
  <si>
    <t>https://ebookcentral.proquest.com/lib/cam/detail.action?docID=4396567</t>
  </si>
  <si>
    <t>Crafting Lives : African American Artisans in New Bern, North Carolina, 1770-1900</t>
  </si>
  <si>
    <t>305.896/0730756192</t>
  </si>
  <si>
    <t>F264.N5.B56 2013eb</t>
  </si>
  <si>
    <t>https://ebookcentral.proquest.com/lib/cam/detail.action?docID=1663509</t>
  </si>
  <si>
    <t>Immigration Canada : Evolving Realities and Emerging Challenges in a Postnational World</t>
  </si>
  <si>
    <t>UBC Press</t>
  </si>
  <si>
    <t>325.7109/051</t>
  </si>
  <si>
    <t>JV7233 -- .F547 2015eb</t>
  </si>
  <si>
    <t>https://ebookcentral.proquest.com/lib/cam/detail.action?docID=3412961</t>
  </si>
  <si>
    <t>The Philosophical Vision of John Duns Scotus : An Introduction</t>
  </si>
  <si>
    <t>189/.4</t>
  </si>
  <si>
    <t>https://ebookcentral.proquest.com/lib/cam/detail.action?docID=3134715</t>
  </si>
  <si>
    <t>Queering Richard Rolle : Mystical Theology and the Hermit in Fourteenth-Century England</t>
  </si>
  <si>
    <t>https://ebookcentral.proquest.com/lib/cam/detail.action?docID=4789933</t>
  </si>
  <si>
    <t>Historian in Chief : How Presidents Interpret the Past to Shape the Future</t>
  </si>
  <si>
    <t>E176.1 .H578 2019</t>
  </si>
  <si>
    <t>https://ebookcentral.proquest.com/lib/cam/detail.action?docID=5710135</t>
  </si>
  <si>
    <t>Southern Identity and Southern Estrangement in Medieval Chinese Poetry</t>
  </si>
  <si>
    <t>PL2327 -- .S688 2015eb</t>
  </si>
  <si>
    <t>https://ebookcentral.proquest.com/lib/cam/detail.action?docID=1935083</t>
  </si>
  <si>
    <t>Tides of Revolution : Information, Insurgencies, and the Crisis of Colonial Rule in Venezuela</t>
  </si>
  <si>
    <t>F2324 .S675 2018</t>
  </si>
  <si>
    <t>https://ebookcentral.proquest.com/lib/cam/detail.action?docID=5528404</t>
  </si>
  <si>
    <t>Wild Child : Intensive Parenting and Posthumanist Ethics</t>
  </si>
  <si>
    <t>PS3618.I39 .M674 2018</t>
  </si>
  <si>
    <t>https://ebookcentral.proquest.com/lib/cam/detail.action?docID=5352582</t>
  </si>
  <si>
    <t>Understanding Gender Dysphoria : Navigating Transgender Issues in a Changing Culture</t>
  </si>
  <si>
    <t>InterVarsity Press</t>
  </si>
  <si>
    <t>261.8/35768</t>
  </si>
  <si>
    <t>BT708 .Y37 2015</t>
  </si>
  <si>
    <t>https://ebookcentral.proquest.com/lib/cam/detail.action?docID=2075005</t>
  </si>
  <si>
    <t>What Is Real?</t>
  </si>
  <si>
    <t>Science; Science: Physics</t>
  </si>
  <si>
    <t>QC15 .A336 2018</t>
  </si>
  <si>
    <t>https://ebookcentral.proquest.com/lib/cam/detail.action?docID=5527519</t>
  </si>
  <si>
    <t>Art History after Deleuze and Guattari</t>
  </si>
  <si>
    <t>B2430.D454 .A78 2017</t>
  </si>
  <si>
    <t>https://ebookcentral.proquest.com/lib/cam/detail.action?docID=5314806</t>
  </si>
  <si>
    <t>Freedom Made Manifest</t>
  </si>
  <si>
    <t>https://ebookcentral.proquest.com/lib/cam/detail.action?docID=5667613</t>
  </si>
  <si>
    <t>Ugly Differences : Queer Female Sexuality in the Underground</t>
  </si>
  <si>
    <t>HQ75</t>
  </si>
  <si>
    <t>https://ebookcentral.proquest.com/lib/cam/detail.action?docID=5471031</t>
  </si>
  <si>
    <t>Shattered Dreams of Revolution : From Liberty to Violence in the Late Ottoman Empire</t>
  </si>
  <si>
    <t>956/.02</t>
  </si>
  <si>
    <t>DR584</t>
  </si>
  <si>
    <t>https://ebookcentral.proquest.com/lib/cam/detail.action?docID=1793953</t>
  </si>
  <si>
    <t>Marrying for a Future : Transnational Sri Lankan Tamil Marriages in the Shadow of War</t>
  </si>
  <si>
    <t>HQ666.8 .M386 2019</t>
  </si>
  <si>
    <t>https://ebookcentral.proquest.com/lib/cam/detail.action?docID=5741137</t>
  </si>
  <si>
    <t>Olivier Messiaen's Opera, Saint Francois D'Assise</t>
  </si>
  <si>
    <t>ML410.M595 .B465 2019</t>
  </si>
  <si>
    <t>https://ebookcentral.proquest.com/lib/cam/detail.action?docID=5894030</t>
  </si>
  <si>
    <t>Reimagining the Sacred : Richard Kearney Debates God with James Wood, Catherine Keller, Charles Taylor, Julia Kristeva, Gianni Vattimo, Simon Critchley, Jean-Luc Marion, John Caputo, David Tracy, Jens Zimmermann, and Merold Westphal</t>
  </si>
  <si>
    <t>BL473 -- .R45 2016eb</t>
  </si>
  <si>
    <t>https://ebookcentral.proquest.com/lib/cam/detail.action?docID=4050775</t>
  </si>
  <si>
    <t>Queer Feminist Science Studies : A Reader</t>
  </si>
  <si>
    <t>HQ76.25 .Q447 2017</t>
  </si>
  <si>
    <t>https://ebookcentral.proquest.com/lib/cam/detail.action?docID=5150776</t>
  </si>
  <si>
    <t>Glaphyra on the Pentateuch, Volume 2</t>
  </si>
  <si>
    <t>BS1225</t>
  </si>
  <si>
    <t>https://ebookcentral.proquest.com/lib/cam/detail.action?docID=5760533</t>
  </si>
  <si>
    <t>Hard Atheism and the Ethics of Desire : An Alternative to Morality</t>
  </si>
  <si>
    <t>https://ebookcentral.proquest.com/lib/cam/detail.action?docID=4771376</t>
  </si>
  <si>
    <t>Job's Journey : Stations of Suffering</t>
  </si>
  <si>
    <t>223/.106</t>
  </si>
  <si>
    <t>BS1415.52.O455 2015</t>
  </si>
  <si>
    <t>https://ebookcentral.proquest.com/lib/cam/detail.action?docID=4772157</t>
  </si>
  <si>
    <t>The Craft of Creativity</t>
  </si>
  <si>
    <t>153.3/5</t>
  </si>
  <si>
    <t>BF408 .C766 2018</t>
  </si>
  <si>
    <t>https://ebookcentral.proquest.com/lib/cam/detail.action?docID=5317438</t>
  </si>
  <si>
    <t>City of Black Gold : Oil, Ethnicity, and the Making of Modern Kirkuk</t>
  </si>
  <si>
    <t>DS79.9.K37 .B48 2019</t>
  </si>
  <si>
    <t>https://ebookcentral.proquest.com/lib/cam/detail.action?docID=5739905</t>
  </si>
  <si>
    <t>The Occupation of Havana : War, Trade, and Slavery in the Atlantic World</t>
  </si>
  <si>
    <t>F1781 .S364 2018</t>
  </si>
  <si>
    <t>https://ebookcentral.proquest.com/lib/cam/detail.action?docID=5569219</t>
  </si>
  <si>
    <t>Life of the Indigenous Mind : Vine Deloria Jr. and the Birth of the Red Power Movement</t>
  </si>
  <si>
    <t>E90.D45 .M378 2019</t>
  </si>
  <si>
    <t>https://ebookcentral.proquest.com/lib/cam/detail.action?docID=5780259</t>
  </si>
  <si>
    <t>Chinese Thought As Global Theory : Diversifying Knowledge Production in the Social Sciences and Humanities</t>
  </si>
  <si>
    <t>B5231 -- .C456 2016eb</t>
  </si>
  <si>
    <t>https://ebookcentral.proquest.com/lib/cam/detail.action?docID=4529064</t>
  </si>
  <si>
    <t>Contemporary Iraqi Fiction : An Anthology</t>
  </si>
  <si>
    <t>892.73/70809567</t>
  </si>
  <si>
    <t>PJ7844 .C668 2008</t>
  </si>
  <si>
    <t>https://ebookcentral.proquest.com/lib/cam/detail.action?docID=5331702</t>
  </si>
  <si>
    <t>Bad Environmentalism : Irony and Irreverence in the Ecological Age</t>
  </si>
  <si>
    <t>NX650.E58 .S496 2018</t>
  </si>
  <si>
    <t>https://ebookcentral.proquest.com/lib/cam/detail.action?docID=5527572</t>
  </si>
  <si>
    <t>Real Native Genius : How an Ex-Slave and a White Mormon Became Famous Indians</t>
  </si>
  <si>
    <t>305.897/0730922</t>
  </si>
  <si>
    <t>E89 -- .H895 2015eb</t>
  </si>
  <si>
    <t>https://ebookcentral.proquest.com/lib/cam/detail.action?docID=3571160</t>
  </si>
  <si>
    <t>Nature's Prophet : Alfred Russel Wallace and His Evolution from Natural Selection to Natural Theology</t>
  </si>
  <si>
    <t>576.8/2</t>
  </si>
  <si>
    <t>QH375</t>
  </si>
  <si>
    <t>https://ebookcentral.proquest.com/lib/cam/detail.action?docID=5473304</t>
  </si>
  <si>
    <t>Farming and Famine : Landscape Vulnerability in Northeast Ethiopia, 1889-1991</t>
  </si>
  <si>
    <t>Business/Management; Agriculture; Economics</t>
  </si>
  <si>
    <t>S589</t>
  </si>
  <si>
    <t>https://ebookcentral.proquest.com/lib/cam/detail.action?docID=5491578</t>
  </si>
  <si>
    <t>Literate Community in Early Imperial China : The Northwestern Frontier in Han Times</t>
  </si>
  <si>
    <t>Literature; Language/Linguistics</t>
  </si>
  <si>
    <t>PL1077 .S264 2019</t>
  </si>
  <si>
    <t>https://ebookcentral.proquest.com/lib/cam/detail.action?docID=5756085</t>
  </si>
  <si>
    <t>The Grand Scribe's Records, Volume XI : The Memoirs of Han China, Part IV</t>
  </si>
  <si>
    <t>D59 .C454 2019</t>
  </si>
  <si>
    <t>https://ebookcentral.proquest.com/lib/cam/detail.action?docID=5845387</t>
  </si>
  <si>
    <t>The Failure of Latin America : Postcolonialism in Bad Times</t>
  </si>
  <si>
    <t>325/.3098</t>
  </si>
  <si>
    <t>JV231</t>
  </si>
  <si>
    <t>https://ebookcentral.proquest.com/lib/cam/detail.action?docID=5782438</t>
  </si>
  <si>
    <t>Eastern Fortress : A Military History of Hong Kong, 1840–1970</t>
  </si>
  <si>
    <t>DS796.H57.K866 2014</t>
  </si>
  <si>
    <t>https://ebookcentral.proquest.com/lib/cam/detail.action?docID=4838853</t>
  </si>
  <si>
    <t>Confucianism's Prospects : A Reassessment</t>
  </si>
  <si>
    <t>181/.112</t>
  </si>
  <si>
    <t>BL1853 .O399 2019</t>
  </si>
  <si>
    <t>https://ebookcentral.proquest.com/lib/cam/detail.action?docID=5877950</t>
  </si>
  <si>
    <t>Anarchists in the Academy : Machines and Free Readers in Experimental Poetry</t>
  </si>
  <si>
    <t>University of Alaska Press</t>
  </si>
  <si>
    <t>809.1/911</t>
  </si>
  <si>
    <t>PN98.S46 .S656 2018</t>
  </si>
  <si>
    <t>https://ebookcentral.proquest.com/lib/cam/detail.action?docID=4891135</t>
  </si>
  <si>
    <t>Heightened Expectations : The Rise of the Human Growth Hormone Industry in America</t>
  </si>
  <si>
    <t>Science; Science: Anatomy/Physiology; Science: Biology/Natural History</t>
  </si>
  <si>
    <t>QP572</t>
  </si>
  <si>
    <t>https://ebookcentral.proquest.com/lib/cam/detail.action?docID=4354150</t>
  </si>
  <si>
    <t>Defiant Indigeneity : The Politics of Hawaiian Performance</t>
  </si>
  <si>
    <t>305.899/42</t>
  </si>
  <si>
    <t>DU624.65 .T48 2018</t>
  </si>
  <si>
    <t>https://ebookcentral.proquest.com/lib/cam/detail.action?docID=5322483</t>
  </si>
  <si>
    <t>The Aristotelian Tradition of Natural Kinds and Its Demise</t>
  </si>
  <si>
    <t>QH380</t>
  </si>
  <si>
    <t>https://ebookcentral.proquest.com/lib/cam/detail.action?docID=5502798</t>
  </si>
  <si>
    <t>Anthropological Conversations : Talking Culture across Disciplines</t>
  </si>
  <si>
    <t>GN33 -- .B748 2015eb</t>
  </si>
  <si>
    <t>https://ebookcentral.proquest.com/lib/cam/detail.action?docID=1832633</t>
  </si>
  <si>
    <t>Propaganda and Rhetoric in Democracy : History, Theory, Analysis</t>
  </si>
  <si>
    <t>303.3/75</t>
  </si>
  <si>
    <t>HM1231</t>
  </si>
  <si>
    <t>https://ebookcentral.proquest.com/lib/cam/detail.action?docID=4729781</t>
  </si>
  <si>
    <t>A Glass Half Full? : Rebalance, Reassurance, and Resolve in the U.S.-China Strategic Relationship</t>
  </si>
  <si>
    <t>E183.8.C5 .O436 2017</t>
  </si>
  <si>
    <t>https://ebookcentral.proquest.com/lib/cam/detail.action?docID=5179950</t>
  </si>
  <si>
    <t>A Survey of South African Crime Fiction : Critical Analysis and Publishing History</t>
  </si>
  <si>
    <t>University of Kwazulu-Natal Press</t>
  </si>
  <si>
    <t>https://ebookcentral.proquest.com/lib/cam/detail.action?docID=5236962</t>
  </si>
  <si>
    <t>Indians on the Move : Native American Mobility and Urbanization in the Twentieth Century</t>
  </si>
  <si>
    <t>E98.S67 .M555 2019</t>
  </si>
  <si>
    <t>https://ebookcentral.proquest.com/lib/cam/detail.action?docID=5717462</t>
  </si>
  <si>
    <t>Gandhi's Search for the Perfect Diet : Eating with the World in Mind</t>
  </si>
  <si>
    <t>Health</t>
  </si>
  <si>
    <t>CFP</t>
  </si>
  <si>
    <t>https://ebookcentral.proquest.com/lib/cam/detail.action?docID=5721188</t>
  </si>
  <si>
    <t>Economic Inequality and Morality : Diverse Ethical Perspectives</t>
  </si>
  <si>
    <t>Business/Management; Philosophy</t>
  </si>
  <si>
    <t>174/.4</t>
  </si>
  <si>
    <t>HB523 .E355 2019</t>
  </si>
  <si>
    <t>https://ebookcentral.proquest.com/lib/cam/detail.action?docID=5646114</t>
  </si>
  <si>
    <t>Democracies Divided : The Global Challenge of Political Polarization</t>
  </si>
  <si>
    <t>JA76 .D466 2019</t>
  </si>
  <si>
    <t>https://ebookcentral.proquest.com/lib/cam/detail.action?docID=5642743</t>
  </si>
  <si>
    <t>The Impeachment of Governor Sulzer : A Story of American Politics</t>
  </si>
  <si>
    <t>974.7/041</t>
  </si>
  <si>
    <t>JK3459.Z5 -- L54 2012eb</t>
  </si>
  <si>
    <t>https://ebookcentral.proquest.com/lib/cam/detail.action?docID=3408632</t>
  </si>
  <si>
    <t>Women's Life Writing and Early Modern Ireland</t>
  </si>
  <si>
    <t>PR8723.W6 .W664 2019</t>
  </si>
  <si>
    <t>https://ebookcentral.proquest.com/lib/cam/detail.action?docID=5750146</t>
  </si>
  <si>
    <t>From Summits to Solutions : Innovations in Implementing the Sustainable Development Goals</t>
  </si>
  <si>
    <t>KZ4986 .F76 2018</t>
  </si>
  <si>
    <t>https://ebookcentral.proquest.com/lib/cam/detail.action?docID=5317939</t>
  </si>
  <si>
    <t>In the Children’s Best Interests : Unaccompanied Children in American-Occupied Germany, 1945-1952</t>
  </si>
  <si>
    <t>D808 .T395 2017</t>
  </si>
  <si>
    <t>https://ebookcentral.proquest.com/lib/cam/detail.action?docID=5171110</t>
  </si>
  <si>
    <t>Native Diasporas : Indigenous Identities and Settler Colonialism in the Americas</t>
  </si>
  <si>
    <t>E98.E85 -- .S55 2014 2014eb</t>
  </si>
  <si>
    <t>https://ebookcentral.proquest.com/lib/cam/detail.action?docID=1666553</t>
  </si>
  <si>
    <t>African Cinema and Human Rights</t>
  </si>
  <si>
    <t>PN1995.9.H83 .A375 2019</t>
  </si>
  <si>
    <t>https://ebookcentral.proquest.com/lib/cam/detail.action?docID=5626682</t>
  </si>
  <si>
    <t>For God or Empire : Sayyid Fadl and the Indian Ocean World</t>
  </si>
  <si>
    <t>BP80.F245 .J336 2019</t>
  </si>
  <si>
    <t>https://ebookcentral.proquest.com/lib/cam/detail.action?docID=5779810</t>
  </si>
  <si>
    <t>Romantic Vacancy : The Poetics of Gender, Affect, and Radical Speculation</t>
  </si>
  <si>
    <t>820.9/353</t>
  </si>
  <si>
    <t>PR468.S46 .S564 2019</t>
  </si>
  <si>
    <t>https://ebookcentral.proquest.com/lib/cam/detail.action?docID=5824794</t>
  </si>
  <si>
    <t>The Inequality Trap : Fighting Capitalism Instead of Poverty</t>
  </si>
  <si>
    <t>https://ebookcentral.proquest.com/lib/cam/detail.action?docID=4669243</t>
  </si>
  <si>
    <t>Borderland Capitalism : Turkestan Produce, Qing Silver, and the Birth of an Eastern Market</t>
  </si>
  <si>
    <t>330.951/603</t>
  </si>
  <si>
    <t>HC428</t>
  </si>
  <si>
    <t>https://ebookcentral.proquest.com/lib/cam/detail.action?docID=4699762</t>
  </si>
  <si>
    <t>Peggy Glanville-Hicks : Composer and Critic</t>
  </si>
  <si>
    <t>https://ebookcentral.proquest.com/lib/cam/detail.action?docID=5813346</t>
  </si>
  <si>
    <t>Confronting America : The Cold War between the United States and the Communists in France and Italy</t>
  </si>
  <si>
    <t>E183.8.F8 -- .B764 2011eb</t>
  </si>
  <si>
    <t>https://ebookcentral.proquest.com/lib/cam/detail.action?docID=4321997</t>
  </si>
  <si>
    <t>The Illuminated Chronicle : Chronicle of the Deeds of the Hungarians from the Fourteenth Century</t>
  </si>
  <si>
    <t>https://ebookcentral.proquest.com/lib/cam/detail.action?docID=5674806</t>
  </si>
  <si>
    <t>Studies on the Illuminated Chronicle</t>
  </si>
  <si>
    <t>DB924 .S783 2018</t>
  </si>
  <si>
    <t>https://ebookcentral.proquest.com/lib/cam/detail.action?docID=5674807</t>
  </si>
  <si>
    <t>Misunderstanding Terrorism</t>
  </si>
  <si>
    <t>University of Pennsylvania Press</t>
  </si>
  <si>
    <t>HV6431S24 2017</t>
  </si>
  <si>
    <t>https://ebookcentral.proquest.com/lib/cam/detail.action?docID=4670528</t>
  </si>
  <si>
    <t>Sovereign Entrepreneurs : Cherokee Small-Business Owners and the Making of Economic Sovereignty</t>
  </si>
  <si>
    <t>975.004/97557</t>
  </si>
  <si>
    <t>E99.C5 .L495 2019</t>
  </si>
  <si>
    <t>https://ebookcentral.proquest.com/lib/cam/detail.action?docID=5749982</t>
  </si>
  <si>
    <t>The Poetry of James Joyce Reconsidered</t>
  </si>
  <si>
    <t>PR6019.O9 -- Z78226 2012eb</t>
  </si>
  <si>
    <t>https://ebookcentral.proquest.com/lib/cam/detail.action?docID=943724</t>
  </si>
  <si>
    <t>Apocalyptic Sentimentalism : Love and Fear in U.S. Antebellum Literature</t>
  </si>
  <si>
    <t>810.9/003</t>
  </si>
  <si>
    <t>PS217.S55 -- P45 2015eb</t>
  </si>
  <si>
    <t>https://ebookcentral.proquest.com/lib/cam/detail.action?docID=1836114</t>
  </si>
  <si>
    <t>Syntax of Multiple &lt;i&gt;-que&lt;/i&gt; Sentences in Spanish : Along the left periphery</t>
  </si>
  <si>
    <t>PC4395 -- .V55 2015eb</t>
  </si>
  <si>
    <t>https://ebookcentral.proquest.com/lib/cam/detail.action?docID=1987946</t>
  </si>
  <si>
    <t>The Testimonial Uncanny : Indigenous Storytelling, Knowledge, and Reparative Practices</t>
  </si>
  <si>
    <t>809/.933897</t>
  </si>
  <si>
    <t>PN491.4.E43 2014</t>
  </si>
  <si>
    <t>https://ebookcentral.proquest.com/lib/cam/detail.action?docID=3408933</t>
  </si>
  <si>
    <t>Landscapes of Disease : Malaria in Modern Greece</t>
  </si>
  <si>
    <t>RC163.G9 .G37 2017</t>
  </si>
  <si>
    <t>https://ebookcentral.proquest.com/lib/cam/detail.action?docID=5357898</t>
  </si>
  <si>
    <t>Ethics in the Real World : 82 Brief Essays on Things That Matter</t>
  </si>
  <si>
    <t>BJ977.A8.S56 2016</t>
  </si>
  <si>
    <t>https://ebookcentral.proquest.com/lib/cam/detail.action?docID=5015552</t>
  </si>
  <si>
    <t>Close Reading with Computers : Textual Scholarship, Computational Formalism, and David Mitchell's Cloud Atlas</t>
  </si>
  <si>
    <t>PR6063.I785 .E94 2019</t>
  </si>
  <si>
    <t>https://ebookcentral.proquest.com/lib/cam/detail.action?docID=5742367</t>
  </si>
  <si>
    <t>Glissant and the Middle Passage : Philosophy, Beginning, Abyss</t>
  </si>
  <si>
    <t>Literature; Philosophy</t>
  </si>
  <si>
    <t>https://ebookcentral.proquest.com/lib/cam/detail.action?docID=5774180</t>
  </si>
  <si>
    <t>To Stir a Restless Heart</t>
  </si>
  <si>
    <t>B765.T54 .W663 2019</t>
  </si>
  <si>
    <t>https://ebookcentral.proquest.com/lib/cam/detail.action?docID=5891697</t>
  </si>
  <si>
    <t>Entangled Itineraries : Materials, Practices, and Knowledges across Eurasia</t>
  </si>
  <si>
    <t>HM651</t>
  </si>
  <si>
    <t>https://ebookcentral.proquest.com/lib/cam/detail.action?docID=5778839</t>
  </si>
  <si>
    <t>Nothingness in the Heart of Empire : The Moral and Political Philosophy of the Kyoto School in Imperial Japan</t>
  </si>
  <si>
    <t>181/.12</t>
  </si>
  <si>
    <t>B5241 .O835 2019</t>
  </si>
  <si>
    <t>https://ebookcentral.proquest.com/lib/cam/detail.action?docID=5721181</t>
  </si>
  <si>
    <t>Michael Haneke : The Intermedial Void</t>
  </si>
  <si>
    <t>https://ebookcentral.proquest.com/lib/cam/detail.action?docID=4806473</t>
  </si>
  <si>
    <t>Comparing Faithfully : Insights for Systematic Theological Reflection</t>
  </si>
  <si>
    <t>BR127.C667 2016eb</t>
  </si>
  <si>
    <t>https://ebookcentral.proquest.com/lib/cam/detail.action?docID=4603832</t>
  </si>
  <si>
    <t>News from Mars : Mass Media and the Forging of a New Astronomy, 1860-1910</t>
  </si>
  <si>
    <t>QB641</t>
  </si>
  <si>
    <t>https://ebookcentral.proquest.com/lib/cam/detail.action?docID=5850383</t>
  </si>
  <si>
    <t>Kingdom, State and Civil Society in Africa</t>
  </si>
  <si>
    <t>JQ1879.A15 .K374 2017</t>
  </si>
  <si>
    <t>https://ebookcentral.proquest.com/lib/cam/detail.action?docID=5200680</t>
  </si>
  <si>
    <t>Burgers in Blackface : Anti-Black Restaurants Then and Now</t>
  </si>
  <si>
    <t>GN269 .K838 2019</t>
  </si>
  <si>
    <t>https://ebookcentral.proquest.com/lib/cam/detail.action?docID=5835629</t>
  </si>
  <si>
    <t>Ain't Gonna Let Nobody Turn Me Around : Forty Years of Movement Building with Barbara Smith</t>
  </si>
  <si>
    <t>E185.86.A36 2014</t>
  </si>
  <si>
    <t>https://ebookcentral.proquest.com/lib/cam/detail.action?docID=3408952</t>
  </si>
  <si>
    <t>American Dolorologies : Pain, Sentimentalism, Biopolitics</t>
  </si>
  <si>
    <t>BJ1409 -- .S775 2014eb</t>
  </si>
  <si>
    <t>https://ebookcentral.proquest.com/lib/cam/detail.action?docID=3408846</t>
  </si>
  <si>
    <t>Honor, Shame, and Guilt : Social-Scientific Approaches to the Book of Ezekiel</t>
  </si>
  <si>
    <t>224/.4067</t>
  </si>
  <si>
    <t>BS1545.55.W82 2016</t>
  </si>
  <si>
    <t>https://ebookcentral.proquest.com/lib/cam/detail.action?docID=4772161</t>
  </si>
  <si>
    <t>A Great Rural Sisterhood : Madge Robertson Watt and the ACWW</t>
  </si>
  <si>
    <t>https://ebookcentral.proquest.com/lib/cam/detail.action?docID=4669683</t>
  </si>
  <si>
    <t>Lectures on the Theory of Ethics (1812)</t>
  </si>
  <si>
    <t>B28082015</t>
  </si>
  <si>
    <t>https://ebookcentral.proquest.com/lib/cam/detail.action?docID=4396598</t>
  </si>
  <si>
    <t>Interactive Journalism : Hackers, Data, and Code</t>
  </si>
  <si>
    <t>PN4784</t>
  </si>
  <si>
    <t>https://ebookcentral.proquest.com/lib/cam/detail.action?docID=4792713</t>
  </si>
  <si>
    <t>Reframing Finance : New Models of Long-Term Investment Management</t>
  </si>
  <si>
    <t>HG4521.M665 2017</t>
  </si>
  <si>
    <t>https://ebookcentral.proquest.com/lib/cam/detail.action?docID=4983513</t>
  </si>
  <si>
    <t>Herodotus and the Question Why</t>
  </si>
  <si>
    <t>PA4004 .P455 2019</t>
  </si>
  <si>
    <t>https://ebookcentral.proquest.com/lib/cam/detail.action?docID=5752340</t>
  </si>
  <si>
    <t>The Politics of the Common Good : Dispossession in Australia</t>
  </si>
  <si>
    <t>https://ebookcentral.proquest.com/lib/cam/detail.action?docID=5813830</t>
  </si>
  <si>
    <t>The Gift of Global Talent : How Migration Shapes Business, Economy and Society</t>
  </si>
  <si>
    <t>Political Science; Economics</t>
  </si>
  <si>
    <t>331.6/20973</t>
  </si>
  <si>
    <t>JV6471 .K477 2019</t>
  </si>
  <si>
    <t>https://ebookcentral.proquest.com/lib/cam/detail.action?docID=5527516</t>
  </si>
  <si>
    <t>The Gender Legacy of the Mao Era : Women's Life Stories in Contemporary China</t>
  </si>
  <si>
    <t>305.40951/0904</t>
  </si>
  <si>
    <t>HQ1767 .H836 2018</t>
  </si>
  <si>
    <t>https://ebookcentral.proquest.com/lib/cam/detail.action?docID=5473321</t>
  </si>
  <si>
    <t>South Africa's Struggle for Human Rights</t>
  </si>
  <si>
    <t>JC599.S5D83 2012</t>
  </si>
  <si>
    <t>https://ebookcentral.proquest.com/lib/cam/detail.action?docID=1743609</t>
  </si>
  <si>
    <t>Modernism the Morning After</t>
  </si>
  <si>
    <t>810.9/112</t>
  </si>
  <si>
    <t>PS228</t>
  </si>
  <si>
    <t>https://ebookcentral.proquest.com/lib/cam/detail.action?docID=4826779</t>
  </si>
  <si>
    <t>Revealing Male Bodies</t>
  </si>
  <si>
    <t>HQ1090 -- .R455 2002eb</t>
  </si>
  <si>
    <t>https://ebookcentral.proquest.com/lib/cam/detail.action?docID=130064</t>
  </si>
  <si>
    <t>Malinche, Pocahontas, and Sacagawea : Indian Women As Cultural Intermediaries and National Symbols</t>
  </si>
  <si>
    <t>E89 -- .J344 2015eb</t>
  </si>
  <si>
    <t>https://ebookcentral.proquest.com/lib/cam/detail.action?docID=4415905</t>
  </si>
  <si>
    <t>The Sufi and the Friar : A Mystical Encounter of Two Men of God in the Abode of Islam</t>
  </si>
  <si>
    <t>BX4705.B26515.D355 2017</t>
  </si>
  <si>
    <t>https://ebookcentral.proquest.com/lib/cam/detail.action?docID=4922979</t>
  </si>
  <si>
    <t>The Implicated Subject : Beyond Victims and Perpetrators</t>
  </si>
  <si>
    <t>BJ145 .R684 2019</t>
  </si>
  <si>
    <t>https://ebookcentral.proquest.com/lib/cam/detail.action?docID=5783095</t>
  </si>
  <si>
    <t>Black Well-Being : Health and Selfhood in Antebellum Black Literature</t>
  </si>
  <si>
    <t>PS153.N5 -- .S766 2016eb</t>
  </si>
  <si>
    <t>https://ebookcentral.proquest.com/lib/cam/detail.action?docID=4458127</t>
  </si>
  <si>
    <t>Refugeehood and the Postconflict Subject : Reconsidering Minor Losses</t>
  </si>
  <si>
    <t>HV640.4.C93 .D46 2018</t>
  </si>
  <si>
    <t>https://ebookcentral.proquest.com/lib/cam/detail.action?docID=5504462</t>
  </si>
  <si>
    <t>On the Good Life : Thinking Through the Intermediaries in Plato's Philebus</t>
  </si>
  <si>
    <t>171/.4</t>
  </si>
  <si>
    <t>B381 .I564 2019</t>
  </si>
  <si>
    <t>https://ebookcentral.proquest.com/lib/cam/detail.action?docID=5790766</t>
  </si>
  <si>
    <t>Panic Fiction : Women and Antebellum Economic Crisis</t>
  </si>
  <si>
    <t>810.9/9287</t>
  </si>
  <si>
    <t>https://ebookcentral.proquest.com/lib/cam/detail.action?docID=1635753</t>
  </si>
  <si>
    <t>True and Living Prophet of Destruction : Cormac Mccarthy and Modernity</t>
  </si>
  <si>
    <t>PS3563.C337Z774 2016</t>
  </si>
  <si>
    <t>https://ebookcentral.proquest.com/lib/cam/detail.action?docID=4436040</t>
  </si>
  <si>
    <t>Major Concepts in Spanish Feminist Theory</t>
  </si>
  <si>
    <t>HQ1692 .J646 2019</t>
  </si>
  <si>
    <t>https://ebookcentral.proquest.com/lib/cam/detail.action?docID=5778072</t>
  </si>
  <si>
    <t>Familial Discourses in «The Book of Margery Kempe» : «Blyssed be the wombe that the bar and the tetys that yaf the sowkyn»</t>
  </si>
  <si>
    <t>PR2007.K4 -- .R647 2014eb</t>
  </si>
  <si>
    <t>https://ebookcentral.proquest.com/lib/cam/detail.action?docID=1766383</t>
  </si>
  <si>
    <t>Civil Society, Conflict Resolution, and Democracy in Nigeria</t>
  </si>
  <si>
    <t>JQ3096.K49 2016</t>
  </si>
  <si>
    <t>https://ebookcentral.proquest.com/lib/cam/detail.action?docID=4649193</t>
  </si>
  <si>
    <t>Mechanism : A Visual, Lexical, and Conceptual History</t>
  </si>
  <si>
    <t>Engineering; Mathematics; Engineering: General</t>
  </si>
  <si>
    <t>QA802</t>
  </si>
  <si>
    <t>https://ebookcentral.proquest.com/lib/cam/detail.action?docID=5752227</t>
  </si>
  <si>
    <t>Vichy France and the Jews : Second Edition</t>
  </si>
  <si>
    <t>DS135.F83 .M377 2019</t>
  </si>
  <si>
    <t>https://ebookcentral.proquest.com/lib/cam/detail.action?docID=5796133</t>
  </si>
  <si>
    <t>The President's Kitchen Cabinet : The Story of the African Americans Who Have Fed Our First Families, from the Washingtons to the Obamas</t>
  </si>
  <si>
    <t>TX649.A1.M555 2017</t>
  </si>
  <si>
    <t>https://ebookcentral.proquest.com/lib/cam/detail.action?docID=4803114</t>
  </si>
  <si>
    <t>The Historian's Huck Finn : Reading Mark Twain's Masterpiece as Social and Economic History</t>
  </si>
  <si>
    <t>813/.4</t>
  </si>
  <si>
    <t>PS1305.D54 2016</t>
  </si>
  <si>
    <t>https://ebookcentral.proquest.com/lib/cam/detail.action?docID=4471698</t>
  </si>
  <si>
    <t>Beyond Versailles : Sovereignty, Legitimacy, and the Formation of New Polities after the Great War</t>
  </si>
  <si>
    <t>D443 .B496 2019</t>
  </si>
  <si>
    <t>https://ebookcentral.proquest.com/lib/cam/detail.action?docID=5744487</t>
  </si>
  <si>
    <t>Intoxication</t>
  </si>
  <si>
    <t>Literature; Social Science; Health</t>
  </si>
  <si>
    <t>PR1307.N363 2016</t>
  </si>
  <si>
    <t>https://ebookcentral.proquest.com/lib/cam/detail.action?docID=4803945</t>
  </si>
  <si>
    <t>National Races : Transnational Power Struggles in the Sciences and Politics of Human Diversity, 1840–1945</t>
  </si>
  <si>
    <t>Science: Biology/Natural History; Social Science; Science</t>
  </si>
  <si>
    <t>GN62.8 .N385 2019</t>
  </si>
  <si>
    <t>https://ebookcentral.proquest.com/lib/cam/detail.action?docID=5790666</t>
  </si>
  <si>
    <t>Islam and the Americas</t>
  </si>
  <si>
    <t>305.6/97097</t>
  </si>
  <si>
    <t>BP67.A1 -- .I853 2015eb</t>
  </si>
  <si>
    <t>https://ebookcentral.proquest.com/lib/cam/detail.action?docID=1986980</t>
  </si>
  <si>
    <t>Nobody Is Supposed to Know : Black Sexuality on the Down Low</t>
  </si>
  <si>
    <t>306.76/608996073</t>
  </si>
  <si>
    <t>HQ76.3.U5 -- .S6225 2014eb</t>
  </si>
  <si>
    <t>https://ebookcentral.proquest.com/lib/cam/detail.action?docID=1693127</t>
  </si>
  <si>
    <t>Vulnerable Constitutions : Queerness, Disability, and the Remaking of American Manhood</t>
  </si>
  <si>
    <t>https://ebookcentral.proquest.com/lib/cam/detail.action?docID=5762831</t>
  </si>
  <si>
    <t>Phonopoetics : The Making of Early Literary Recordings</t>
  </si>
  <si>
    <t>ML1055 .C365 2019</t>
  </si>
  <si>
    <t>https://ebookcentral.proquest.com/lib/cam/detail.action?docID=5703760</t>
  </si>
  <si>
    <t>The Genocidal Gaze : From German Southwest Africa to the Third Reich</t>
  </si>
  <si>
    <t>PN51 .B347 2017</t>
  </si>
  <si>
    <t>https://ebookcentral.proquest.com/lib/cam/detail.action?docID=5647945</t>
  </si>
  <si>
    <t>Bureaucratic Intimacies : Translating Human Rights in Turkey</t>
  </si>
  <si>
    <t>JC599.T9.B338 2017</t>
  </si>
  <si>
    <t>https://ebookcentral.proquest.com/lib/cam/detail.action?docID=5105708</t>
  </si>
  <si>
    <t>What Works in Development? : Thinking Big and Thinking Small</t>
  </si>
  <si>
    <t>HD75 -- .W485 2009eb</t>
  </si>
  <si>
    <t>https://ebookcentral.proquest.com/lib/cam/detail.action?docID=472684</t>
  </si>
  <si>
    <t>Building the Black Arts Movement : Hoyt Fuller and the Cultural Politics of The 1960s</t>
  </si>
  <si>
    <t>https://ebookcentral.proquest.com/lib/cam/detail.action?docID=5750341</t>
  </si>
  <si>
    <t>Queer Timing : The Emergence of Lesbian Sexuality in Early Cinema</t>
  </si>
  <si>
    <t>https://ebookcentral.proquest.com/lib/cam/detail.action?docID=5813344</t>
  </si>
  <si>
    <t>Fostering on the Farm : Child Placement in the Rural Midwest</t>
  </si>
  <si>
    <t>362.73/3097709034</t>
  </si>
  <si>
    <t>HV875</t>
  </si>
  <si>
    <t>https://ebookcentral.proquest.com/lib/cam/detail.action?docID=3440672</t>
  </si>
  <si>
    <t>Jewish Feminism and Intersectionality</t>
  </si>
  <si>
    <t>296.3/8</t>
  </si>
  <si>
    <t>BM729.W6B7466 2016</t>
  </si>
  <si>
    <t>https://ebookcentral.proquest.com/lib/cam/detail.action?docID=4528788</t>
  </si>
  <si>
    <t>Just One of the Boys : Female-To-Male Cross-Dressing on the American Variety Stage</t>
  </si>
  <si>
    <t>792.70973/09034</t>
  </si>
  <si>
    <t>ML1711</t>
  </si>
  <si>
    <t>https://ebookcentral.proquest.com/lib/cam/detail.action?docID=5228499</t>
  </si>
  <si>
    <t>Everyday Life in the Balkans</t>
  </si>
  <si>
    <t>History; Political Science; Social Science</t>
  </si>
  <si>
    <t>https://ebookcentral.proquest.com/lib/cam/detail.action?docID=5598350</t>
  </si>
  <si>
    <t>Proxy War : The Least Bad Option</t>
  </si>
  <si>
    <t>JZ6385 .G764 2019</t>
  </si>
  <si>
    <t>https://ebookcentral.proquest.com/lib/cam/detail.action?docID=5675602</t>
  </si>
  <si>
    <t>Letters from the Greatest Generation : Writing Home in WWII</t>
  </si>
  <si>
    <t>D769.L45 2016</t>
  </si>
  <si>
    <t>https://ebookcentral.proquest.com/lib/cam/detail.action?docID=4675580</t>
  </si>
  <si>
    <t>Alva Ixtlilxochitl's Native Archive and the Circulation of Knowledge in Colonial Mexico</t>
  </si>
  <si>
    <t>F1219.3.H56B73 2016</t>
  </si>
  <si>
    <t>https://ebookcentral.proquest.com/lib/cam/detail.action?docID=4305610</t>
  </si>
  <si>
    <t>The Ministers' War : John W. Mears, the Oneida Community, and the Crusade for Public Morality</t>
  </si>
  <si>
    <t>BX9225.M3973 .D69 2018</t>
  </si>
  <si>
    <t>https://ebookcentral.proquest.com/lib/cam/detail.action?docID=5378158</t>
  </si>
  <si>
    <t>Free Spirits : Spiritualism, Republicanism, and Radicalism in the Civil War Era</t>
  </si>
  <si>
    <t>133.90973/09034</t>
  </si>
  <si>
    <t>BF1242</t>
  </si>
  <si>
    <t>https://ebookcentral.proquest.com/lib/cam/detail.action?docID=4443565</t>
  </si>
  <si>
    <t>The Lost President : A. D. Smith and the Hidden History of Radical Democracy in Civil War America</t>
  </si>
  <si>
    <t>E340.S53 .D865 2019</t>
  </si>
  <si>
    <t>https://ebookcentral.proquest.com/lib/cam/detail.action?docID=5718951</t>
  </si>
  <si>
    <t>Make Your Own History : Documenting Feminist and Queer Activism in the 21st Century</t>
  </si>
  <si>
    <t>Litwin Books, LLC</t>
  </si>
  <si>
    <t>HQ1155 -- .M346 2012eb</t>
  </si>
  <si>
    <t>https://ebookcentral.proquest.com/lib/cam/detail.action?docID=3328236</t>
  </si>
  <si>
    <t>Signatures of Struggle : The Figuration of Collectivity in Israeli Fiction</t>
  </si>
  <si>
    <t>PJ5030.P64 .N57 2018</t>
  </si>
  <si>
    <t>https://ebookcentral.proquest.com/lib/cam/detail.action?docID=5527549</t>
  </si>
  <si>
    <t>Digital Orientations : Non-Media-Centric Media Studies and Non-Representational Theories of Practice</t>
  </si>
  <si>
    <t>302.23/1</t>
  </si>
  <si>
    <t>HM851 .M663 2018</t>
  </si>
  <si>
    <t>https://ebookcentral.proquest.com/lib/cam/detail.action?docID=5214792</t>
  </si>
  <si>
    <t>Modern Muslims : A Sudan Memoir</t>
  </si>
  <si>
    <t>BP188.8.S8H69 2016</t>
  </si>
  <si>
    <t>https://ebookcentral.proquest.com/lib/cam/detail.action?docID=4647670</t>
  </si>
  <si>
    <t>At Freedom's Limit : Islam and the Postcolonial Predicament</t>
  </si>
  <si>
    <t>306.6/97</t>
  </si>
  <si>
    <t>BP161.3 -- .A235 2014eb</t>
  </si>
  <si>
    <t>https://ebookcentral.proquest.com/lib/cam/detail.action?docID=3239911</t>
  </si>
  <si>
    <t>Emerging Issues and Trends in Education</t>
  </si>
  <si>
    <t>379.2/6</t>
  </si>
  <si>
    <t>LC212</t>
  </si>
  <si>
    <t>https://ebookcentral.proquest.com/lib/cam/detail.action?docID=4871438</t>
  </si>
  <si>
    <t>The Infrahuman : Animality in Modern Jewish Literature</t>
  </si>
  <si>
    <t>809/.88924</t>
  </si>
  <si>
    <t>PN842.P56 2018</t>
  </si>
  <si>
    <t>https://ebookcentral.proquest.com/lib/cam/detail.action?docID=5473319</t>
  </si>
  <si>
    <t>Beyond Death : The Politics of Suicide and Martyrdom in Korea</t>
  </si>
  <si>
    <t>HV6548.K6 .B496 2019</t>
  </si>
  <si>
    <t>https://ebookcentral.proquest.com/lib/cam/detail.action?docID=5732629</t>
  </si>
  <si>
    <t>New Religiosities, Modern Capitalism, and Moral Complexities in Southeast Asia</t>
  </si>
  <si>
    <t>https://ebookcentral.proquest.com/lib/cam/detail.action?docID=4777483</t>
  </si>
  <si>
    <t>By the Fire : Sami Folktales and Legends</t>
  </si>
  <si>
    <t>GR138.5 .B9 2019</t>
  </si>
  <si>
    <t>https://ebookcentral.proquest.com/lib/cam/detail.action?docID=5744497</t>
  </si>
  <si>
    <t>Beastly Morality : Animals as Ethical Agents</t>
  </si>
  <si>
    <t>B105.A55.B43 2016eb</t>
  </si>
  <si>
    <t>https://ebookcentral.proquest.com/lib/cam/detail.action?docID=4050773</t>
  </si>
  <si>
    <t>The Matter of Empire : Metaphysics and Mining in Colonial Peru</t>
  </si>
  <si>
    <t>984/.14</t>
  </si>
  <si>
    <t>F3341</t>
  </si>
  <si>
    <t>https://ebookcentral.proquest.com/lib/cam/detail.action?docID=4900804</t>
  </si>
  <si>
    <t>Occupied Territory : Policing Black Chicago from Red Summer to Black Power</t>
  </si>
  <si>
    <t>HV8148.C4 .B358 2019</t>
  </si>
  <si>
    <t>https://ebookcentral.proquest.com/lib/cam/detail.action?docID=5723973</t>
  </si>
  <si>
    <t>Redeeming Time : Protestantism and Chicago's Eight-Hour Movement, 1866-1912</t>
  </si>
  <si>
    <t>331.25/7097731109034</t>
  </si>
  <si>
    <t>HD5126</t>
  </si>
  <si>
    <t>https://ebookcentral.proquest.com/lib/cam/detail.action?docID=3414451</t>
  </si>
  <si>
    <t>The Lure of Authoritarianism : The Maghreb after the Arab Spring</t>
  </si>
  <si>
    <t>JQ3198.A58 .L874 2019</t>
  </si>
  <si>
    <t>https://ebookcentral.proquest.com/lib/cam/detail.action?docID=5744489</t>
  </si>
  <si>
    <t>New Humanitarianism and the Crisis of Charity : Good Intentions on the Road to Help</t>
  </si>
  <si>
    <t>HV553.M279 2017</t>
  </si>
  <si>
    <t>https://ebookcentral.proquest.com/lib/cam/detail.action?docID=4871972</t>
  </si>
  <si>
    <t>Ritual, Violence, and the Fall of the Classic Maya Kings</t>
  </si>
  <si>
    <t>F1435.3.P7 .R588 2018</t>
  </si>
  <si>
    <t>https://ebookcentral.proquest.com/lib/cam/detail.action?docID=5638761</t>
  </si>
  <si>
    <t>The ANC's War against Apartheid : Umkhonto we Sizwe and the Liberation of South Africa</t>
  </si>
  <si>
    <t>DT1953 .D385 2018</t>
  </si>
  <si>
    <t>https://ebookcentral.proquest.com/lib/cam/detail.action?docID=5313103</t>
  </si>
  <si>
    <t>Essays of a Lifetime : Reformers, Nationalists, Subalterns</t>
  </si>
  <si>
    <t>DS463 .S275 2019</t>
  </si>
  <si>
    <t>https://ebookcentral.proquest.com/lib/cam/detail.action?docID=5627253</t>
  </si>
  <si>
    <t>A Guide to Useful Evaluation of Language Programs</t>
  </si>
  <si>
    <t>P53.63 .G85 2018</t>
  </si>
  <si>
    <t>https://ebookcentral.proquest.com/lib/cam/detail.action?docID=5395022</t>
  </si>
  <si>
    <t>Film Firsts : The 25 Movies That Created Contemporary American Cinema</t>
  </si>
  <si>
    <t>PN1993.5.U6 -- .A484 2014eb</t>
  </si>
  <si>
    <t>https://ebookcentral.proquest.com/lib/cam/detail.action?docID=1688903</t>
  </si>
  <si>
    <t>Legacies of the Sublime : Literature, Aesthetics, and Freedom from Kant to Joyce</t>
  </si>
  <si>
    <t>801/.93</t>
  </si>
  <si>
    <t>PN56.S7416 .K587 2019</t>
  </si>
  <si>
    <t>https://ebookcentral.proquest.com/lib/cam/detail.action?docID=5756080</t>
  </si>
  <si>
    <t>Ten Canadian Writers in Context</t>
  </si>
  <si>
    <t>PR9184.6.T46 2016</t>
  </si>
  <si>
    <t>https://ebookcentral.proquest.com/lib/cam/detail.action?docID=4827366</t>
  </si>
  <si>
    <t>Postcolonial Biology : Psyche and Flesh after Empire</t>
  </si>
  <si>
    <t>820.9/9171241</t>
  </si>
  <si>
    <t>PR9080.5 .B34 2017</t>
  </si>
  <si>
    <t>https://ebookcentral.proquest.com/lib/cam/detail.action?docID=5173408</t>
  </si>
  <si>
    <t>Guiguzi, China's First Treatise on Rhetoric : A Critical Translation and Commentary</t>
  </si>
  <si>
    <t>B128</t>
  </si>
  <si>
    <t>https://ebookcentral.proquest.com/lib/cam/detail.action?docID=4653439</t>
  </si>
  <si>
    <t>How America Got Its Guns : A History of the Gun Violence Crisis</t>
  </si>
  <si>
    <t>HV7436.B754 2017</t>
  </si>
  <si>
    <t>https://ebookcentral.proquest.com/lib/cam/detail.action?docID=4744145</t>
  </si>
  <si>
    <t>Lost Sound : The Forgotten Art of Radio Storytelling</t>
  </si>
  <si>
    <t>791.4402/8</t>
  </si>
  <si>
    <t>PN1991.8.L5P67 2016</t>
  </si>
  <si>
    <t>https://ebookcentral.proquest.com/lib/cam/detail.action?docID=4443618</t>
  </si>
  <si>
    <t>Contraband Corridor : Making a Living at the Mexico--Guatemala Border</t>
  </si>
  <si>
    <t>HJ6767 .G35 2018</t>
  </si>
  <si>
    <t>https://ebookcentral.proquest.com/lib/cam/detail.action?docID=5178030</t>
  </si>
  <si>
    <t>A World of Their Own : A History of South African Women’s Education</t>
  </si>
  <si>
    <t>LC2475.2 -- .H43 2014eb</t>
  </si>
  <si>
    <t>https://ebookcentral.proquest.com/lib/cam/detail.action?docID=3444164</t>
  </si>
  <si>
    <t>Character and Mourning : Woolf, Faulkner, and the Novel Elegy of the First World War</t>
  </si>
  <si>
    <t>PR6045.O72 .P466 2019</t>
  </si>
  <si>
    <t>https://ebookcentral.proquest.com/lib/cam/detail.action?docID=5824791</t>
  </si>
  <si>
    <t>Isaac, Iphigeneia, and Ignatius : Martyrdom and Human Sacrifice</t>
  </si>
  <si>
    <t>203/.42</t>
  </si>
  <si>
    <t>BR1601.3.P47 2017</t>
  </si>
  <si>
    <t>https://ebookcentral.proquest.com/lib/cam/detail.action?docID=4940227</t>
  </si>
  <si>
    <t>Thou Shalt Not Kill : A Political and Theological Dialogue</t>
  </si>
  <si>
    <t>BV4680 -- .C3813 2015eb</t>
  </si>
  <si>
    <t>https://ebookcentral.proquest.com/lib/cam/detail.action?docID=3430733</t>
  </si>
  <si>
    <t>Anthony Minghella : Interviews</t>
  </si>
  <si>
    <t>PN1998.3.M56 -- A58 2013eb</t>
  </si>
  <si>
    <t>https://ebookcentral.proquest.com/lib/cam/detail.action?docID=1113424</t>
  </si>
  <si>
    <t>Possible Worlds Theory and Contemporary Narratology</t>
  </si>
  <si>
    <t>https://ebookcentral.proquest.com/lib/cam/detail.action?docID=5606845</t>
  </si>
  <si>
    <t>Silent History : Body Language and Nonverbal Identity, 1860-1914</t>
  </si>
  <si>
    <t>302.2/22</t>
  </si>
  <si>
    <t>BF637.N66 .A534 2018</t>
  </si>
  <si>
    <t>https://ebookcentral.proquest.com/lib/cam/detail.action?docID=5521287</t>
  </si>
  <si>
    <t>Dead Labor : Toward a Political Economy of Premature Death</t>
  </si>
  <si>
    <t>331.01/3</t>
  </si>
  <si>
    <t>HD4904 .T964 2019</t>
  </si>
  <si>
    <t>https://ebookcentral.proquest.com/lib/cam/detail.action?docID=5710144</t>
  </si>
  <si>
    <t>Challenging Beijing's Mandate of Heaven : Taiwan's Sunflower Movement and Hong Kong's Umbrella Movement</t>
  </si>
  <si>
    <t>DS799</t>
  </si>
  <si>
    <t>https://ebookcentral.proquest.com/lib/cam/detail.action?docID=5642762</t>
  </si>
  <si>
    <t>Sephardi Lives : A Documentary History, 1700-1950</t>
  </si>
  <si>
    <t>DS134</t>
  </si>
  <si>
    <t>https://ebookcentral.proquest.com/lib/cam/detail.action?docID=1774245</t>
  </si>
  <si>
    <t>Thomas Pynchon, Sex, and Gender</t>
  </si>
  <si>
    <t>PS3566.Y55 .T466 2018</t>
  </si>
  <si>
    <t>https://ebookcentral.proquest.com/lib/cam/detail.action?docID=5597859</t>
  </si>
  <si>
    <t>Radical Gotham : Anarchism in New York City from Schwab's Saloon to Occupy Wall Street</t>
  </si>
  <si>
    <t>Economics; Social Science</t>
  </si>
  <si>
    <t>335/.83097471</t>
  </si>
  <si>
    <t>HX846</t>
  </si>
  <si>
    <t>https://ebookcentral.proquest.com/lib/cam/detail.action?docID=5493049</t>
  </si>
  <si>
    <t>Steel Closets : Voices of Gay, Lesbian, and Transgender Steelworkers</t>
  </si>
  <si>
    <t>HQ76.3.U52.I63 2014</t>
  </si>
  <si>
    <t>https://ebookcentral.proquest.com/lib/cam/detail.action?docID=1663556</t>
  </si>
  <si>
    <t>A State Is Born : The Establishment of the Israeli System of Government, 1947-1951</t>
  </si>
  <si>
    <t>320.9569409/044</t>
  </si>
  <si>
    <t>JQ1830.A58 .F564 2018</t>
  </si>
  <si>
    <t>https://ebookcentral.proquest.com/lib/cam/detail.action?docID=5317836</t>
  </si>
  <si>
    <t>From Goodwill to Grunge : A History of Secondhand Styles and Alternative Economies</t>
  </si>
  <si>
    <t>381/.190973</t>
  </si>
  <si>
    <t>HF5482.L42 2017</t>
  </si>
  <si>
    <t>https://ebookcentral.proquest.com/lib/cam/detail.action?docID=4799498</t>
  </si>
  <si>
    <t>Trial Films on Trial : Law, Justice, and Popular Culture</t>
  </si>
  <si>
    <t>791.43/6554</t>
  </si>
  <si>
    <t>https://ebookcentral.proquest.com/lib/cam/detail.action?docID=5734552</t>
  </si>
  <si>
    <t>Churches in the Ukrainian Crisis</t>
  </si>
  <si>
    <t>https://ebookcentral.proquest.com/lib/cam/detail.action?docID=4801163</t>
  </si>
  <si>
    <t>Literati Storytelling in Late Medieval China</t>
  </si>
  <si>
    <t>895.109/003</t>
  </si>
  <si>
    <t>https://ebookcentral.proquest.com/lib/cam/detail.action?docID=3444637</t>
  </si>
  <si>
    <t>Caging Borders and Carceral States : Incarcerations, Immigration Detentions, and Resistance</t>
  </si>
  <si>
    <t>365/.9730904</t>
  </si>
  <si>
    <t>HV9466 .C345 2019</t>
  </si>
  <si>
    <t>https://ebookcentral.proquest.com/lib/cam/detail.action?docID=5748834</t>
  </si>
  <si>
    <t>Orson Welles in Focus : Texts and Contexts</t>
  </si>
  <si>
    <t>PN1998.3.W45 .O77 2018</t>
  </si>
  <si>
    <t>https://ebookcentral.proquest.com/lib/cam/detail.action?docID=5314506</t>
  </si>
  <si>
    <t>Journalism, Satire, and Censorship in Mexico</t>
  </si>
  <si>
    <t>079/.720904</t>
  </si>
  <si>
    <t>PN4974.P6 .J68 2018</t>
  </si>
  <si>
    <t>https://ebookcentral.proquest.com/lib/cam/detail.action?docID=5568181</t>
  </si>
  <si>
    <t>Colonization, Proselytization, and Identity : The Nagas and Westernization in Northeast India</t>
  </si>
  <si>
    <t>https://ebookcentral.proquest.com/lib/cam/detail.action?docID=4718359</t>
  </si>
  <si>
    <t>Arab-Israeli Conflict : The Essential Reference Guide</t>
  </si>
  <si>
    <t>DS119.7.R575 2014</t>
  </si>
  <si>
    <t>https://ebookcentral.proquest.com/lib/cam/detail.action?docID=1784108</t>
  </si>
  <si>
    <t>Development Naivety and Emergent Insecurities in a Monopolised World : The Politics and Sociology of Development in Contempora</t>
  </si>
  <si>
    <t>HC800 .D484 2018</t>
  </si>
  <si>
    <t>https://ebookcentral.proquest.com/lib/cam/detail.action?docID=5583828</t>
  </si>
  <si>
    <t>Revolutionary Damnation : Badiou and Irish Fiction from Joyce to Enright</t>
  </si>
  <si>
    <t>PR8803</t>
  </si>
  <si>
    <t>https://ebookcentral.proquest.com/lib/cam/detail.action?docID=4648035</t>
  </si>
  <si>
    <t>Styling Blackness in Chile : Music and Dance in the African Diaspora</t>
  </si>
  <si>
    <t>Fine Arts; History; Social Science</t>
  </si>
  <si>
    <t>https://ebookcentral.proquest.com/lib/cam/detail.action?docID=5772887</t>
  </si>
  <si>
    <t>Sons of Sarasvati : Late Exemplars of the Indian Intellectual Tradition</t>
  </si>
  <si>
    <t>DS485.M835 .S667 2018</t>
  </si>
  <si>
    <t>https://ebookcentral.proquest.com/lib/cam/detail.action?docID=5515185</t>
  </si>
  <si>
    <t>Re-Writing Pasts, Imagining Futures : Critical Explorations of Contemporary African Fiction and Theater</t>
  </si>
  <si>
    <t>PL8010.6 .R4 2017</t>
  </si>
  <si>
    <t>https://ebookcentral.proquest.com/lib/cam/detail.action?docID=5336385</t>
  </si>
  <si>
    <t>Gardenland : Nature, Fantasy, and Everyday Practice</t>
  </si>
  <si>
    <t>PS169.G37 .A85 2018</t>
  </si>
  <si>
    <t>https://ebookcentral.proquest.com/lib/cam/detail.action?docID=5448447</t>
  </si>
  <si>
    <t>The User Unconscious : On Affect, Media, and Measure</t>
  </si>
  <si>
    <t>303.48/3</t>
  </si>
  <si>
    <t>BF175.5.A35 .U84 2018</t>
  </si>
  <si>
    <t>https://ebookcentral.proquest.com/lib/cam/detail.action?docID=5317387</t>
  </si>
  <si>
    <t>Birth in Ancient China : A Study of Metaphor and Cultural Identity in Pre-Imperial China</t>
  </si>
  <si>
    <t>392.1/2</t>
  </si>
  <si>
    <t>GN482.1 .C665 2017</t>
  </si>
  <si>
    <t>https://ebookcentral.proquest.com/lib/cam/detail.action?docID=5115793</t>
  </si>
  <si>
    <t>Christian Flesh</t>
  </si>
  <si>
    <t>BT741.3 .G754 2018</t>
  </si>
  <si>
    <t>https://ebookcentral.proquest.com/lib/cam/detail.action?docID=5508372</t>
  </si>
  <si>
    <t>Greening of Capitalism : How Asia Is Driving the Next Great Transformation</t>
  </si>
  <si>
    <t>HC415</t>
  </si>
  <si>
    <t>https://ebookcentral.proquest.com/lib/cam/detail.action?docID=1863798</t>
  </si>
  <si>
    <t>Christian Women in Chinese Society : The Anglican Story</t>
  </si>
  <si>
    <t>https://ebookcentral.proquest.com/lib/cam/detail.action?docID=5594272</t>
  </si>
  <si>
    <t>Having a Word with Angus Graham : At Twenty-Five Years into His Immortality</t>
  </si>
  <si>
    <t>181/.11</t>
  </si>
  <si>
    <t>B1626.G74 .H385 2018</t>
  </si>
  <si>
    <t>https://ebookcentral.proquest.com/lib/cam/detail.action?docID=5321261</t>
  </si>
  <si>
    <t>An Introductory New Testament Greek Course, Revised Edition</t>
  </si>
  <si>
    <t>487/.4</t>
  </si>
  <si>
    <t>PA817</t>
  </si>
  <si>
    <t>https://ebookcentral.proquest.com/lib/cam/detail.action?docID=3425921</t>
  </si>
  <si>
    <t>Echoes of a Queer Messianic : From Frankenstein to Brokeback Mountain</t>
  </si>
  <si>
    <t>809/.8920664</t>
  </si>
  <si>
    <t>PN56.H57B56 2018</t>
  </si>
  <si>
    <t>https://ebookcentral.proquest.com/lib/cam/detail.action?docID=5322491</t>
  </si>
  <si>
    <t>Rule, Britannia! : The Biopic and British National Identity</t>
  </si>
  <si>
    <t>PN1995.9.B55 .R854 2018</t>
  </si>
  <si>
    <t>https://ebookcentral.proquest.com/lib/cam/detail.action?docID=5549099</t>
  </si>
  <si>
    <t>Befriending the Commedia dell'Arte of Flaminio Scala : The Comic Scenarios</t>
  </si>
  <si>
    <t>852/.5</t>
  </si>
  <si>
    <t>PQ4630.P26.S365 2014eb</t>
  </si>
  <si>
    <t>https://ebookcentral.proquest.com/lib/cam/detail.action?docID=4669257</t>
  </si>
  <si>
    <t>Conservative Bias : How Jesse Helms Pioneered the Rise of Right-Wing Media and Realigned the Republican Party</t>
  </si>
  <si>
    <t>E840.8.H44.T47 2014</t>
  </si>
  <si>
    <t>https://ebookcentral.proquest.com/lib/cam/detail.action?docID=1582130</t>
  </si>
  <si>
    <t>Disability, Faith, and the Church : Inclusion and Accommodation in Contemporary Congregations</t>
  </si>
  <si>
    <t>261.8/324</t>
  </si>
  <si>
    <t>BV4460.W475 2016</t>
  </si>
  <si>
    <t>https://ebookcentral.proquest.com/lib/cam/detail.action?docID=4504562</t>
  </si>
  <si>
    <t>Modernists and Mystics</t>
  </si>
  <si>
    <t>248.2/20940903</t>
  </si>
  <si>
    <t>BX1396</t>
  </si>
  <si>
    <t>https://ebookcentral.proquest.com/lib/cam/detail.action?docID=3134970</t>
  </si>
  <si>
    <t>Born from Lament : The Theology and Politics of Hope in Africa</t>
  </si>
  <si>
    <t>BT30.A35 .K386 2017</t>
  </si>
  <si>
    <t>https://ebookcentral.proquest.com/lib/cam/detail.action?docID=5652973</t>
  </si>
  <si>
    <t>Ephesians</t>
  </si>
  <si>
    <t>B&amp;H Publishing Group</t>
  </si>
  <si>
    <t>227/.5048</t>
  </si>
  <si>
    <t>BS2695.55</t>
  </si>
  <si>
    <t>https://ebookcentral.proquest.com/lib/cam/detail.action?docID=4648380</t>
  </si>
  <si>
    <t>Strange Narrators in Contemporary Fiction : Explorations in Readers' Engagement with Characters</t>
  </si>
  <si>
    <t>PN3383.N35.C37 2016</t>
  </si>
  <si>
    <t>https://ebookcentral.proquest.com/lib/cam/detail.action?docID=4721314</t>
  </si>
  <si>
    <t>Globalizing Morocco : Transnational Activism and the Postcolonial State</t>
  </si>
  <si>
    <t>DT324 .S746 2019</t>
  </si>
  <si>
    <t>https://ebookcentral.proquest.com/lib/cam/detail.action?docID=5739523</t>
  </si>
  <si>
    <t>The Deepest Border : The Strait of Gibraltar and the Making of the Modern Hispano-African Borderland</t>
  </si>
  <si>
    <t>https://ebookcentral.proquest.com/lib/cam/detail.action?docID=5594257</t>
  </si>
  <si>
    <t>The Apostle Paul : His Life, Thought, and Letters</t>
  </si>
  <si>
    <t>BS2650.52.P678 2016</t>
  </si>
  <si>
    <t>https://ebookcentral.proquest.com/lib/cam/detail.action?docID=4859087</t>
  </si>
  <si>
    <t>The Palace Complex : A Stalinist Skyscraper, Capitalist Warsaw, and a City Transfixed</t>
  </si>
  <si>
    <t>NA2543.S6 .M873 2019</t>
  </si>
  <si>
    <t>https://ebookcentral.proquest.com/lib/cam/detail.action?docID=5744488</t>
  </si>
  <si>
    <t>An Ethnography of Hunger : Politics, Subsistence, and the Unpredictable Grace of the Sun</t>
  </si>
  <si>
    <t>HC885.Z9 P61593 2018</t>
  </si>
  <si>
    <t>https://ebookcentral.proquest.com/lib/cam/detail.action?docID=5495446</t>
  </si>
  <si>
    <t>Mussolini's Children : Race and Elementary Education in Fascist Italy</t>
  </si>
  <si>
    <t>372.94509/041</t>
  </si>
  <si>
    <t>LA791.8 .M35 2018</t>
  </si>
  <si>
    <t>https://ebookcentral.proquest.com/lib/cam/detail.action?docID=5399219</t>
  </si>
  <si>
    <t>Development Perspectives from the South : Troubling the Metrics of [under-]development in Africa</t>
  </si>
  <si>
    <t>HC800.D484 2016</t>
  </si>
  <si>
    <t>https://ebookcentral.proquest.com/lib/cam/detail.action?docID=4786351</t>
  </si>
  <si>
    <t>Prieto : Yorùbá Kingship in Colonial Cuba During the Age of Revolutions</t>
  </si>
  <si>
    <t>972.91/05092</t>
  </si>
  <si>
    <t>F1789.Y6 .L684 2018</t>
  </si>
  <si>
    <t>https://ebookcentral.proquest.com/lib/cam/detail.action?docID=5597855</t>
  </si>
  <si>
    <t>Global Origins of the Modern Self, from Montaigne to Suzuki</t>
  </si>
  <si>
    <t>BD438.5 .A474 2019</t>
  </si>
  <si>
    <t>https://ebookcentral.proquest.com/lib/cam/detail.action?docID=5756081</t>
  </si>
  <si>
    <t>Keep the Days : Reading the Civil War Diaries of Southern Women</t>
  </si>
  <si>
    <t>E628 .S76 2018</t>
  </si>
  <si>
    <t>https://ebookcentral.proquest.com/lib/cam/detail.action?docID=5340140</t>
  </si>
  <si>
    <t>Ambient Screens and Transnational Public Spaces</t>
  </si>
  <si>
    <t>PN1992.6.A435 2016</t>
  </si>
  <si>
    <t>https://ebookcentral.proquest.com/lib/cam/detail.action?docID=4724629</t>
  </si>
  <si>
    <t>Lineage of Loss : Counternarratives of North Indian Music</t>
  </si>
  <si>
    <t>ML3917.I4.K389 2017</t>
  </si>
  <si>
    <t>https://ebookcentral.proquest.com/lib/cam/detail.action?docID=4834072</t>
  </si>
  <si>
    <t>Returning Home with Glory : Chinese Villagers around the Pacific, 1849 to 1949</t>
  </si>
  <si>
    <t>DS732 .W555 2018</t>
  </si>
  <si>
    <t>https://ebookcentral.proquest.com/lib/cam/detail.action?docID=5343633</t>
  </si>
  <si>
    <t>Natural:Mind</t>
  </si>
  <si>
    <t>B829.5 .F5813 2015</t>
  </si>
  <si>
    <t>https://ebookcentral.proquest.com/lib/cam/detail.action?docID=2129518</t>
  </si>
  <si>
    <t>Aristotle on God's Life-Generating Power and on Pneuma As Its Vehicle</t>
  </si>
  <si>
    <t>B491.R46 .B67 2018</t>
  </si>
  <si>
    <t>https://ebookcentral.proquest.com/lib/cam/detail.action?docID=5264877</t>
  </si>
  <si>
    <t>The Virgin Vote : How Young Americans Made Democracy Social, Politics Personal, and Voting Popular in the Nineteenth Century</t>
  </si>
  <si>
    <t>324.70973/09034</t>
  </si>
  <si>
    <t>JK1717.G75 2016</t>
  </si>
  <si>
    <t>https://ebookcentral.proquest.com/lib/cam/detail.action?docID=4443607</t>
  </si>
  <si>
    <t>Immigrant Protest : Politics, Aesthetics, and Everyday Dissent</t>
  </si>
  <si>
    <t xml:space="preserve">322.4086/912 </t>
  </si>
  <si>
    <t>JV6255 -- .I56 2014eb</t>
  </si>
  <si>
    <t>https://ebookcentral.proquest.com/lib/cam/detail.action?docID=3408947</t>
  </si>
  <si>
    <t>Quaternion of the Examples of a Philosophical Influence: Schopenhauer-Dostoevsky-Nietzsche-Cioran</t>
  </si>
  <si>
    <t>B822.L43 2015</t>
  </si>
  <si>
    <t>https://ebookcentral.proquest.com/lib/cam/detail.action?docID=4088509</t>
  </si>
  <si>
    <t>Popular Memories of the Mao Era : From Critical Debate to Reassessing History</t>
  </si>
  <si>
    <t>DS777.55 .P678 2019</t>
  </si>
  <si>
    <t>https://ebookcentral.proquest.com/lib/cam/detail.action?docID=5751575</t>
  </si>
  <si>
    <t>The Anime Ecology : A Genealogy of Television, Animation, and Game Media</t>
  </si>
  <si>
    <t>NC1766.J3  .L363 2018</t>
  </si>
  <si>
    <t>https://ebookcentral.proquest.com/lib/cam/detail.action?docID=5316877</t>
  </si>
  <si>
    <t>No Miracles : The Failure of Soviet Decision-Making in the Afghan War</t>
  </si>
  <si>
    <t>958.104/5</t>
  </si>
  <si>
    <t>DS371.2 .F46 2018</t>
  </si>
  <si>
    <t>https://ebookcentral.proquest.com/lib/cam/detail.action?docID=5178039</t>
  </si>
  <si>
    <t>Loan Sharks : The Birth of Predatory Lending</t>
  </si>
  <si>
    <t>HG3756.U54.G453 2017</t>
  </si>
  <si>
    <t>https://ebookcentral.proquest.com/lib/cam/detail.action?docID=4551759</t>
  </si>
  <si>
    <t>An Anthropology of Marxism</t>
  </si>
  <si>
    <t>HX73 .R635 2019</t>
  </si>
  <si>
    <t>https://ebookcentral.proquest.com/lib/cam/detail.action?docID=5639400</t>
  </si>
  <si>
    <t>Have the Mountains Fallen? : Two Journeys of Loss and Redemption in the Cold War</t>
  </si>
  <si>
    <t>PL44.9.A36 .L555 2018</t>
  </si>
  <si>
    <t>https://ebookcentral.proquest.com/lib/cam/detail.action?docID=5219764</t>
  </si>
  <si>
    <t>Beyond the Good Earth : Transnational Perspectives on Pearl S. Buck</t>
  </si>
  <si>
    <t>PS3503</t>
  </si>
  <si>
    <t>https://ebookcentral.proquest.com/lib/cam/detail.action?docID=5630417</t>
  </si>
  <si>
    <t>Of Red Dragons and Evil Spirits : Post-Communist Historiography between Democratization and the New Politics of History</t>
  </si>
  <si>
    <t>949.6/04072</t>
  </si>
  <si>
    <t>DJK51.O35 2017</t>
  </si>
  <si>
    <t>https://ebookcentral.proquest.com/lib/cam/detail.action?docID=4940224</t>
  </si>
  <si>
    <t>In Fitting Memory : The Art and Politics of Holocaust Memorials</t>
  </si>
  <si>
    <t>D804.17 .M558 1991</t>
  </si>
  <si>
    <t>https://ebookcentral.proquest.com/lib/cam/detail.action?docID=5526553</t>
  </si>
  <si>
    <t>Historical Justice and Memory</t>
  </si>
  <si>
    <t>320.01/1</t>
  </si>
  <si>
    <t>JC578</t>
  </si>
  <si>
    <t>https://ebookcentral.proquest.com/lib/cam/detail.action?docID=3445461</t>
  </si>
  <si>
    <t>Ghosts of the Somme : Commemoration and Culture War in Northern Ireland</t>
  </si>
  <si>
    <t>940.4/272</t>
  </si>
  <si>
    <t>DA962 .E94 2018</t>
  </si>
  <si>
    <t>https://ebookcentral.proquest.com/lib/cam/detail.action?docID=5396583</t>
  </si>
  <si>
    <t>Intermittences : Memory, Justice, and the Poetics of the Visible in Uruguay</t>
  </si>
  <si>
    <t>JC599</t>
  </si>
  <si>
    <t>https://ebookcentral.proquest.com/lib/cam/detail.action?docID=5630420</t>
  </si>
  <si>
    <t>Quest for a Suitable Past : Myth and Memory in  Central and Eastern Europe</t>
  </si>
  <si>
    <t>DJK48.5.Q478 2017</t>
  </si>
  <si>
    <t>https://ebookcentral.proquest.com/lib/cam/detail.action?docID=5049796</t>
  </si>
  <si>
    <t>The Art of the Watchdog : Fighting Fraud, Waste, Abuse, and Corruption in Government</t>
  </si>
  <si>
    <t>364.1/323</t>
  </si>
  <si>
    <t>JF1081.F45 2014eb</t>
  </si>
  <si>
    <t>https://ebookcentral.proquest.com/lib/cam/detail.action?docID=3408790</t>
  </si>
  <si>
    <t>The Truth about Crime : Sovereignty, Knowledge, Social Order</t>
  </si>
  <si>
    <t>HV6035</t>
  </si>
  <si>
    <t>https://ebookcentral.proquest.com/lib/cam/detail.action?docID=4765785</t>
  </si>
  <si>
    <t>The Biggest Prison on Earth : A History of the Occupied Territories</t>
  </si>
  <si>
    <t>DS126.9 .P377 2017</t>
  </si>
  <si>
    <t>https://ebookcentral.proquest.com/lib/cam/detail.action?docID=4555583</t>
  </si>
  <si>
    <t>Interdisciplinary Interpretation : Paul Ricoeur and the Hermeneutics of Theology and Science</t>
  </si>
  <si>
    <t>B2430.R554 -- R49 2013eb</t>
  </si>
  <si>
    <t>https://ebookcentral.proquest.com/lib/cam/detail.action?docID=1207421</t>
  </si>
  <si>
    <t>Gift and Communion : John Paul II's Theology of the Body</t>
  </si>
  <si>
    <t>233/.5</t>
  </si>
  <si>
    <t>BX1795</t>
  </si>
  <si>
    <t>https://ebookcentral.proquest.com/lib/cam/detail.action?docID=3135168</t>
  </si>
  <si>
    <t>The Sea Mark : Captain John Smith’s Voyage to New England</t>
  </si>
  <si>
    <t>F7</t>
  </si>
  <si>
    <t>https://ebookcentral.proquest.com/lib/cam/detail.action?docID=1882428</t>
  </si>
  <si>
    <t>Quantitative Methods in the Humanities : An Introduction</t>
  </si>
  <si>
    <t>D16.17 .L464 2019</t>
  </si>
  <si>
    <t>https://ebookcentral.proquest.com/lib/cam/detail.action?docID=5662549</t>
  </si>
  <si>
    <t>Four Fools in the Age of Reason : Laughter, Cruelty, and Power in Early Modern Germany</t>
  </si>
  <si>
    <t>GT3670.5.G4O87 2019</t>
  </si>
  <si>
    <t>https://ebookcentral.proquest.com/lib/cam/detail.action?docID=5678612</t>
  </si>
  <si>
    <t>The Image of Elizabeth I in Early Modern Spain</t>
  </si>
  <si>
    <t>DA356 .I434 2019</t>
  </si>
  <si>
    <t>https://ebookcentral.proquest.com/lib/cam/detail.action?docID=5652498</t>
  </si>
  <si>
    <t>Ottoman Dress and Design in the West : A Visual History of Cultural Exchange</t>
  </si>
  <si>
    <t>Fine Arts; History; Home Economics</t>
  </si>
  <si>
    <t>https://ebookcentral.proquest.com/lib/cam/detail.action?docID=5594255</t>
  </si>
  <si>
    <t>The Spanish Caribbean and the Atlantic World in the Long Sixteenth Century</t>
  </si>
  <si>
    <t>F2161 .S636 2019</t>
  </si>
  <si>
    <t>https://ebookcentral.proquest.com/lib/cam/detail.action?docID=5744117</t>
  </si>
  <si>
    <t>Harnessing the Airplane : American and British Cavalry Responses to a New Technology, 1903-1939</t>
  </si>
  <si>
    <t>357/.184</t>
  </si>
  <si>
    <t>UE160 .H466  2019</t>
  </si>
  <si>
    <t>https://ebookcentral.proquest.com/lib/cam/detail.action?docID=5634217</t>
  </si>
  <si>
    <t>A Cuban City, Segregated : Race and Urbanization in the Nineteenth Century</t>
  </si>
  <si>
    <t>972.91/43</t>
  </si>
  <si>
    <t>F1852</t>
  </si>
  <si>
    <t>https://ebookcentral.proquest.com/lib/cam/detail.action?docID=5741469</t>
  </si>
  <si>
    <t>The Peculiar Institution and the Making of Modern Psychiatry, 1840-1880</t>
  </si>
  <si>
    <t>Medicine; Social Science; Health; Psychology</t>
  </si>
  <si>
    <t>RC438 .G663 2018</t>
  </si>
  <si>
    <t>https://ebookcentral.proquest.com/lib/cam/detail.action?docID=5683561</t>
  </si>
  <si>
    <t>Lethal State : A History of the Death Penalty in North Carolina</t>
  </si>
  <si>
    <t>HV8699.U6 .K683 2019</t>
  </si>
  <si>
    <t>https://ebookcentral.proquest.com/lib/cam/detail.action?docID=5631463</t>
  </si>
  <si>
    <t>Unlearning Eugenics : Sexuality, Reproduction, and Disability in Post-Nazi Europe</t>
  </si>
  <si>
    <t>363.9/2094</t>
  </si>
  <si>
    <t>HQ755</t>
  </si>
  <si>
    <t>https://ebookcentral.proquest.com/lib/cam/detail.action?docID=5583670</t>
  </si>
  <si>
    <t>Jonah in the Shadows of Eden</t>
  </si>
  <si>
    <t>224/.9206</t>
  </si>
  <si>
    <t>BS1605.52</t>
  </si>
  <si>
    <t>https://ebookcentral.proquest.com/lib/cam/detail.action?docID=4612538</t>
  </si>
  <si>
    <t>Neo-Race Realities in the Obama Era</t>
  </si>
  <si>
    <t>E184.A1 .N467 2019</t>
  </si>
  <si>
    <t>https://ebookcentral.proquest.com/lib/cam/detail.action?docID=5764172</t>
  </si>
  <si>
    <t>Literary Spaces in the Selected Works of J.M. Coetzee</t>
  </si>
  <si>
    <t>PR9369.3.C58 -- Z744 2014eb</t>
  </si>
  <si>
    <t>https://ebookcentral.proquest.com/lib/cam/detail.action?docID=1689192</t>
  </si>
  <si>
    <t>The Rhetoric of Heroic Expectations : Establishing the Obama Presidency</t>
  </si>
  <si>
    <t>E907 -- .R47 2014eb</t>
  </si>
  <si>
    <t>https://ebookcentral.proquest.com/lib/cam/detail.action?docID=1637621</t>
  </si>
  <si>
    <t>Women Fight, Women Write : Texts on the Algerian War</t>
  </si>
  <si>
    <t>840.9/92870965</t>
  </si>
  <si>
    <t>PQ3988.5.A5 .M678 2018</t>
  </si>
  <si>
    <t>https://ebookcentral.proquest.com/lib/cam/detail.action?docID=5621989</t>
  </si>
  <si>
    <t>(New) Fascism : Contagion, Community, Myth</t>
  </si>
  <si>
    <t>320.53/3</t>
  </si>
  <si>
    <t>JC481</t>
  </si>
  <si>
    <t>https://ebookcentral.proquest.com/lib/cam/detail.action?docID=5786672</t>
  </si>
  <si>
    <t>Selling Empire : India in the Making of Britain and America, 1600-1830</t>
  </si>
  <si>
    <t>382/.609540903</t>
  </si>
  <si>
    <t>DA16.E23 2016</t>
  </si>
  <si>
    <t>https://ebookcentral.proquest.com/lib/cam/detail.action?docID=4850960</t>
  </si>
  <si>
    <t>Where I Have Never Been : Migration, Melancholia, and Memory in Asian American Narratives of Return</t>
  </si>
  <si>
    <t>810.9/895073</t>
  </si>
  <si>
    <t>https://ebookcentral.proquest.com/lib/cam/detail.action?docID=5611005</t>
  </si>
  <si>
    <t>From Comparison to World Literature</t>
  </si>
  <si>
    <t>PJ312 -- .Z525 2015eb</t>
  </si>
  <si>
    <t>https://ebookcentral.proquest.com/lib/cam/detail.action?docID=3408968</t>
  </si>
  <si>
    <t>Blockbusting in Baltimore : The Edmondson Village Story</t>
  </si>
  <si>
    <t>University Press of Kentucky</t>
  </si>
  <si>
    <t>305.896/07307526</t>
  </si>
  <si>
    <t>F189.B16 -- .O774 1994eb</t>
  </si>
  <si>
    <t>https://ebookcentral.proquest.com/lib/cam/detail.action?docID=1915001</t>
  </si>
  <si>
    <t>The Achievement of Hans Urs Von Balthasar</t>
  </si>
  <si>
    <t>https://ebookcentral.proquest.com/lib/cam/detail.action?docID=5774138</t>
  </si>
  <si>
    <t>Franklin D. Roosevelt : Road to the New Deal, 1882-1939</t>
  </si>
  <si>
    <t>E807</t>
  </si>
  <si>
    <t>https://ebookcentral.proquest.com/lib/cam/detail.action?docID=4306035</t>
  </si>
  <si>
    <t>Herman Melville : Modernity and the Material Text</t>
  </si>
  <si>
    <t>University of New Hampshire Press</t>
  </si>
  <si>
    <t>813/.3</t>
  </si>
  <si>
    <t>PS2387 .M344 2017</t>
  </si>
  <si>
    <t>https://ebookcentral.proquest.com/lib/cam/detail.action?docID=5110297</t>
  </si>
  <si>
    <t>Reading the Bones : Activity, Biology, and Culture</t>
  </si>
  <si>
    <t>CC79.5.H85</t>
  </si>
  <si>
    <t>https://ebookcentral.proquest.com/lib/cam/detail.action?docID=5087794</t>
  </si>
  <si>
    <t>Bilingual Cognition and Language : The State of the Science Across Its Subfields</t>
  </si>
  <si>
    <t>P115.B525 2018</t>
  </si>
  <si>
    <t>https://ebookcentral.proquest.com/lib/cam/detail.action?docID=5254571</t>
  </si>
  <si>
    <t>Death Be Not Proud : The Art of Holy Attention</t>
  </si>
  <si>
    <t>821/.3</t>
  </si>
  <si>
    <t>PR2247</t>
  </si>
  <si>
    <t>https://ebookcentral.proquest.com/lib/cam/detail.action?docID=4729364</t>
  </si>
  <si>
    <t>More Than a Doctrine : The Eisenhower Era in the Middle East</t>
  </si>
  <si>
    <t>327.7305609/045</t>
  </si>
  <si>
    <t>DS63.2.U5 .F695 2018</t>
  </si>
  <si>
    <t>https://ebookcentral.proquest.com/lib/cam/detail.action?docID=5326731</t>
  </si>
  <si>
    <t>Migrating the Black Body : The African Diaspora and Visual Culture</t>
  </si>
  <si>
    <t>N8232.M547 2017</t>
  </si>
  <si>
    <t>https://ebookcentral.proquest.com/lib/cam/detail.action?docID=4858196</t>
  </si>
  <si>
    <t>City of Second Sight : Nineteenth-Century Boston and the Making of American Visual Culture</t>
  </si>
  <si>
    <t>HT168.B6 .C53 2018</t>
  </si>
  <si>
    <t>https://ebookcentral.proquest.com/lib/cam/detail.action?docID=5323521</t>
  </si>
  <si>
    <t>Beasts of the Deep : Sea Creatures and Popular Culture</t>
  </si>
  <si>
    <t>Science: Zoology; Science; Social Science</t>
  </si>
  <si>
    <t>398/.45</t>
  </si>
  <si>
    <t>QL89 .B437 2018</t>
  </si>
  <si>
    <t>https://ebookcentral.proquest.com/lib/cam/detail.action?docID=5291703</t>
  </si>
  <si>
    <t>The Parthenon and Liberal Education</t>
  </si>
  <si>
    <t>B235.P44 .L446 2018</t>
  </si>
  <si>
    <t>https://ebookcentral.proquest.com/lib/cam/detail.action?docID=5317839</t>
  </si>
  <si>
    <t>Color Coded : Party Politics in the American West, 1950-2016</t>
  </si>
  <si>
    <t>324.2730978/09045</t>
  </si>
  <si>
    <t>JK2271 .N844 2018</t>
  </si>
  <si>
    <t>https://ebookcentral.proquest.com/lib/cam/detail.action?docID=5541163</t>
  </si>
  <si>
    <t>An Oral History of the Portuguese Colonial War : Conscripted Generation</t>
  </si>
  <si>
    <t>https://ebookcentral.proquest.com/lib/cam/detail.action?docID=4812825</t>
  </si>
  <si>
    <t>Globalization under and after Socialism : The Evolution of Transnational Capital in Central and Eastern Europe</t>
  </si>
  <si>
    <t>Economics; Political Science</t>
  </si>
  <si>
    <t>https://ebookcentral.proquest.com/lib/cam/detail.action?docID=5426742</t>
  </si>
  <si>
    <t>On Being Rich and Poor : Christianity in a Time of Economic Globalization</t>
  </si>
  <si>
    <t>https://ebookcentral.proquest.com/lib/cam/detail.action?docID=4669361</t>
  </si>
  <si>
    <t>The Invention of the Favela</t>
  </si>
  <si>
    <t>HV4075.R53 .V355 2019</t>
  </si>
  <si>
    <t>https://ebookcentral.proquest.com/lib/cam/detail.action?docID=5762626</t>
  </si>
  <si>
    <t>The Sublime South : Andalusia, Orientalism, and the Making of Modern Spain</t>
  </si>
  <si>
    <t>DP302</t>
  </si>
  <si>
    <t>https://ebookcentral.proquest.com/lib/cam/detail.action?docID=5403736</t>
  </si>
  <si>
    <t>Race, Real Estate, and Uneven Development, Second Edition : The Kansas City Experience, 1900-2010</t>
  </si>
  <si>
    <t>HC108.K2.G68 2014eb</t>
  </si>
  <si>
    <t>https://ebookcentral.proquest.com/lib/cam/detail.action?docID=3408836</t>
  </si>
  <si>
    <t>Hong Kong Cantopop : A Concise History</t>
  </si>
  <si>
    <t>ML3502.C58.H663 2017</t>
  </si>
  <si>
    <t>https://ebookcentral.proquest.com/lib/cam/detail.action?docID=4913819</t>
  </si>
  <si>
    <t>Negotiating Genocide in Rwanda : The Politics of History</t>
  </si>
  <si>
    <t>https://ebookcentral.proquest.com/lib/cam/detail.action?docID=4791288</t>
  </si>
  <si>
    <t>Global Village Myth : Distance, War, and the Limits of Power</t>
  </si>
  <si>
    <t>355/.033573</t>
  </si>
  <si>
    <t>JZ1305 -- .P678 2015eb</t>
  </si>
  <si>
    <t>https://ebookcentral.proquest.com/lib/cam/detail.action?docID=1977099</t>
  </si>
  <si>
    <t>Do You Hear in the Mountains... and Other Stories</t>
  </si>
  <si>
    <t>PQ3989.2.B477 .B49 2018</t>
  </si>
  <si>
    <t>https://ebookcentral.proquest.com/lib/cam/detail.action?docID=5606544</t>
  </si>
  <si>
    <t>Emirate, Egyptian, Ethiopian : Colonial Experiences in Late Nineteenth-Century Harar</t>
  </si>
  <si>
    <t>DT390.H3 .B46 2018</t>
  </si>
  <si>
    <t>https://ebookcentral.proquest.com/lib/cam/detail.action?docID=5496137</t>
  </si>
  <si>
    <t>Fire and Snow : Climate Fiction from the Inklings to Game of Thrones</t>
  </si>
  <si>
    <t>823/.0876609</t>
  </si>
  <si>
    <t>PR830.F3 .D573 2018</t>
  </si>
  <si>
    <t>https://ebookcentral.proquest.com/lib/cam/detail.action?docID=5473315</t>
  </si>
  <si>
    <t>Building the Nation : Missed Opportunities in Iraq and Afghanistan</t>
  </si>
  <si>
    <t>956.7044/31</t>
  </si>
  <si>
    <t>DS79.769 .G744 2018</t>
  </si>
  <si>
    <t>https://ebookcentral.proquest.com/lib/cam/detail.action?docID=5553648</t>
  </si>
  <si>
    <t>The Lost World of Scripture : Ancient Literary Culture and Biblical Authority</t>
  </si>
  <si>
    <t>BS480 -- .W26 2013eb</t>
  </si>
  <si>
    <t>https://ebookcentral.proquest.com/lib/cam/detail.action?docID=2030861</t>
  </si>
  <si>
    <t>Tackling Wicked Problems in Complex Ecologies : The Role of Evaluation</t>
  </si>
  <si>
    <t>HN18.3 .T335 2018</t>
  </si>
  <si>
    <t>https://ebookcentral.proquest.com/lib/cam/detail.action?docID=5317442</t>
  </si>
  <si>
    <t>Measuring Social Change : Performance and Accountability in a Complex World</t>
  </si>
  <si>
    <t>HD2769.15 .E273 2019</t>
  </si>
  <si>
    <t>https://ebookcentral.proquest.com/lib/cam/detail.action?docID=5764030</t>
  </si>
  <si>
    <t>Left of Poetry : Depression America and the Formation of Modern Poetics</t>
  </si>
  <si>
    <t>PS324 .E354 2019</t>
  </si>
  <si>
    <t>https://ebookcentral.proquest.com/lib/cam/detail.action?docID=5750349</t>
  </si>
  <si>
    <t>A Political History of the Arameans : From Their Origins to the End of Their Polities</t>
  </si>
  <si>
    <t>939.4/3402</t>
  </si>
  <si>
    <t>DS59</t>
  </si>
  <si>
    <t>https://ebookcentral.proquest.com/lib/cam/detail.action?docID=4707958</t>
  </si>
  <si>
    <t>The Archaeology of Sanitation in Roman Italy : Toilets, Sewers, and Water Systems</t>
  </si>
  <si>
    <t>Engineering; Engineering: Environmental</t>
  </si>
  <si>
    <t>TD16 -- .K65 2015eb</t>
  </si>
  <si>
    <t>https://ebookcentral.proquest.com/lib/cam/detail.action?docID=3039533</t>
  </si>
  <si>
    <t>Critical Digital Humanities : The Search for a Methodology</t>
  </si>
  <si>
    <t>Library Science; General Works/Reference</t>
  </si>
  <si>
    <t>https://ebookcentral.proquest.com/lib/cam/detail.action?docID=5747459</t>
  </si>
  <si>
    <t>Thou Shalt Not Speak My Language</t>
  </si>
  <si>
    <t>PJ7515 .K5813 2018</t>
  </si>
  <si>
    <t>https://ebookcentral.proquest.com/lib/cam/detail.action?docID=5192732</t>
  </si>
  <si>
    <t>Beyond Blaxploitation</t>
  </si>
  <si>
    <t>PN1995.9.N4 .B496 2016</t>
  </si>
  <si>
    <t>https://ebookcentral.proquest.com/lib/cam/detail.action?docID=5647907</t>
  </si>
  <si>
    <t>Eurasian Integration and the Russian World : Regionalism As an Identitary Enterprise</t>
  </si>
  <si>
    <t>JN6693.5.R43 .K394 2019</t>
  </si>
  <si>
    <t>https://ebookcentral.proquest.com/lib/cam/detail.action?docID=5778069</t>
  </si>
  <si>
    <t>Radical Sydney : Places, Portraits and Unruly Episodes</t>
  </si>
  <si>
    <t>HN850.S9 -- I78 2010eb</t>
  </si>
  <si>
    <t>https://ebookcentral.proquest.com/lib/cam/detail.action?docID=3440893</t>
  </si>
  <si>
    <t>Criminology and Criminal Policy Movements</t>
  </si>
  <si>
    <t>HV6018.Z34 -- C75 2012eb</t>
  </si>
  <si>
    <t>https://ebookcentral.proquest.com/lib/cam/detail.action?docID=1153786</t>
  </si>
  <si>
    <t>The Rise of Duterte : A Populist Revolt Against Elite Democracy</t>
  </si>
  <si>
    <t>https://ebookcentral.proquest.com/lib/cam/detail.action?docID=5047841</t>
  </si>
  <si>
    <t>Masculinity and the Making of American Judaism</t>
  </si>
  <si>
    <t>BM725.I446 2017</t>
  </si>
  <si>
    <t>https://ebookcentral.proquest.com/lib/cam/detail.action?docID=4830663</t>
  </si>
  <si>
    <t>Education Doctorate : Issues of Access, Diversity, Social Justice, and Community Leadership</t>
  </si>
  <si>
    <t>378.2/42</t>
  </si>
  <si>
    <t>LB1742 -- .E38 2015eb</t>
  </si>
  <si>
    <t>https://ebookcentral.proquest.com/lib/cam/detail.action?docID=3565005</t>
  </si>
  <si>
    <t>The Many Lives of a Rajput Queen : Heroic Pasts in India, C. 1500-1900</t>
  </si>
  <si>
    <t>954.02/34072</t>
  </si>
  <si>
    <t>DS435.S644 2017</t>
  </si>
  <si>
    <t>https://ebookcentral.proquest.com/lib/cam/detail.action?docID=4987341</t>
  </si>
  <si>
    <t>Population, the State, and National Grandeur : Demography As Political Science in Modern France</t>
  </si>
  <si>
    <t>DC369 .R674 2018</t>
  </si>
  <si>
    <t>https://ebookcentral.proquest.com/lib/cam/detail.action?docID=5704490</t>
  </si>
  <si>
    <t>The Specter of the Indian : Race, Gender, and Ghosts in American Seances, 1848-1890</t>
  </si>
  <si>
    <t>E98.R3.T769 2017</t>
  </si>
  <si>
    <t>https://ebookcentral.proquest.com/lib/cam/detail.action?docID=4985954</t>
  </si>
  <si>
    <t>The Assisted Reproduction of Race</t>
  </si>
  <si>
    <t>Medicine; Philosophy</t>
  </si>
  <si>
    <t>R724 .R877 2018</t>
  </si>
  <si>
    <t>https://ebookcentral.proquest.com/lib/cam/detail.action?docID=5626681</t>
  </si>
  <si>
    <t>Memories of Madagascar and Slavery in the Black Atlantic</t>
  </si>
  <si>
    <t>306.3/6209691</t>
  </si>
  <si>
    <t>E446 -- .W557 2015eb</t>
  </si>
  <si>
    <t>https://ebookcentral.proquest.com/lib/cam/detail.action?docID=4050756</t>
  </si>
  <si>
    <t>Shaping Terrain : City Building in Latin America</t>
  </si>
  <si>
    <t>HT169.L3 -- .S53 2016eb</t>
  </si>
  <si>
    <t>https://ebookcentral.proquest.com/lib/cam/detail.action?docID=4570863</t>
  </si>
  <si>
    <t>Mapping Warsaw : The Spatial Poetics of a Postwar City</t>
  </si>
  <si>
    <t>https://ebookcentral.proquest.com/lib/cam/detail.action?docID=5512013</t>
  </si>
  <si>
    <t>Creating the Universe : Depictions of the Cosmos in Himalayan Buddhism</t>
  </si>
  <si>
    <t>AHP</t>
  </si>
  <si>
    <t>https://ebookcentral.proquest.com/lib/cam/detail.action?docID=5725321</t>
  </si>
  <si>
    <t>Skyscraper Gothic : Medieval Style and Modernist Buildings</t>
  </si>
  <si>
    <t>NA6232.S597 2017</t>
  </si>
  <si>
    <t>https://ebookcentral.proquest.com/lib/cam/detail.action?docID=4865692</t>
  </si>
  <si>
    <t>Arctic Cinemas and the Documentary Ethos</t>
  </si>
  <si>
    <t>Geography/Travel; Journalism</t>
  </si>
  <si>
    <t>G606 .A738 2019</t>
  </si>
  <si>
    <t>https://ebookcentral.proquest.com/lib/cam/detail.action?docID=5716781</t>
  </si>
  <si>
    <t>Recovering Inequality : Hurricane Katrina, the San Francisco Earthquake of 1906, and the Aftermath of Disaster</t>
  </si>
  <si>
    <t>HV551.3 K76 2018</t>
  </si>
  <si>
    <t>https://ebookcentral.proquest.com/lib/cam/detail.action?docID=5398045</t>
  </si>
  <si>
    <t>Circulating Literacy : Writing Instruction in American Periodicals, 1880-1910</t>
  </si>
  <si>
    <t>General Works/Reference; Journalism</t>
  </si>
  <si>
    <t>PN4877</t>
  </si>
  <si>
    <t>https://ebookcentral.proquest.com/lib/cam/detail.action?docID=4729784</t>
  </si>
  <si>
    <t>Making Machu Picchu : The Politics of Tourism in Twentieth-Century Peru</t>
  </si>
  <si>
    <t>985/.37</t>
  </si>
  <si>
    <t>F3429.1.M3 .R534 2018</t>
  </si>
  <si>
    <t>https://ebookcentral.proquest.com/lib/cam/detail.action?docID=5494554</t>
  </si>
  <si>
    <t>Postcard America : Curt Teich and the Imaging of a Nation, 1931-1950</t>
  </si>
  <si>
    <t>972/.530831</t>
  </si>
  <si>
    <t>F1386.4.T597S74 2016</t>
  </si>
  <si>
    <t>https://ebookcentral.proquest.com/lib/cam/detail.action?docID=4397285</t>
  </si>
  <si>
    <t>Site Unscene : The Offstage in English Renaissance Drama</t>
  </si>
  <si>
    <t>PR651</t>
  </si>
  <si>
    <t>https://ebookcentral.proquest.com/lib/cam/detail.action?docID=4843137</t>
  </si>
  <si>
    <t>Sites of Exposure : Art, Politics, and the Nature of Experience</t>
  </si>
  <si>
    <t>BD431.R877 2017</t>
  </si>
  <si>
    <t>https://ebookcentral.proquest.com/lib/cam/detail.action?docID=5041728</t>
  </si>
  <si>
    <t>Spying for Wellington : British Military Intelligence in the Peninsular War</t>
  </si>
  <si>
    <t>DC231 .D385 2018</t>
  </si>
  <si>
    <t>https://ebookcentral.proquest.com/lib/cam/detail.action?docID=5574868</t>
  </si>
  <si>
    <t>Subaltern Geographies</t>
  </si>
  <si>
    <t>HN980 .S833 2019</t>
  </si>
  <si>
    <t>https://ebookcentral.proquest.com/lib/cam/detail.action?docID=5718950</t>
  </si>
  <si>
    <t>Monumental Mobility : The Memory Work of Massasoit</t>
  </si>
  <si>
    <t>974.4004/973480092</t>
  </si>
  <si>
    <t>E99.W2 .B544 2019</t>
  </si>
  <si>
    <t>https://ebookcentral.proquest.com/lib/cam/detail.action?docID=5683576</t>
  </si>
  <si>
    <t>John le Carré's Post-Cold War Fiction</t>
  </si>
  <si>
    <t>823/.914</t>
  </si>
  <si>
    <t>PR6062</t>
  </si>
  <si>
    <t>https://ebookcentral.proquest.com/lib/cam/detail.action?docID=5199841</t>
  </si>
  <si>
    <t>Making of Christianity : Conflicts, Contacts, and Constructions : Essays in Honor of Bengt Holmberg</t>
  </si>
  <si>
    <t>BR162.3 -- .M35 2012eb</t>
  </si>
  <si>
    <t>https://ebookcentral.proquest.com/lib/cam/detail.action?docID=3155663</t>
  </si>
  <si>
    <t>Being and Place among the Tlingit</t>
  </si>
  <si>
    <t>305.897/270798</t>
  </si>
  <si>
    <t>E99.T6 -- T55 2008eb</t>
  </si>
  <si>
    <t>https://ebookcentral.proquest.com/lib/cam/detail.action?docID=3444437</t>
  </si>
  <si>
    <t>Repainting the Walls of Lunda : Information Colonialism and Angolan Art</t>
  </si>
  <si>
    <t>751.7/309673</t>
  </si>
  <si>
    <t>ND2867.6.A52L863</t>
  </si>
  <si>
    <t>https://ebookcentral.proquest.com/lib/cam/detail.action?docID=4392060</t>
  </si>
  <si>
    <t>Age in Love : Shakespeare and the Elizabethan Court</t>
  </si>
  <si>
    <t>PR3024 .V364 2019</t>
  </si>
  <si>
    <t>https://ebookcentral.proquest.com/lib/cam/detail.action?docID=5750145</t>
  </si>
  <si>
    <t>The Virginal Mother in German Culture : From Sophie von La Roche and Goethe to Metropolis</t>
  </si>
  <si>
    <t>PT151</t>
  </si>
  <si>
    <t>https://ebookcentral.proquest.com/lib/cam/detail.action?docID=5675018</t>
  </si>
  <si>
    <t>Afrikaner Identity : Dysfunction and Grief</t>
  </si>
  <si>
    <t>DT888 .V363 2018</t>
  </si>
  <si>
    <t>https://ebookcentral.proquest.com/lib/cam/detail.action?docID=5359326</t>
  </si>
  <si>
    <t>Colonial Suspects : Suspicion, Imperial Rule, and Colonial Society in Interwar French West Africa</t>
  </si>
  <si>
    <t>JQ3359.5.I6 .K45 2018</t>
  </si>
  <si>
    <t>https://ebookcentral.proquest.com/lib/cam/detail.action?docID=5295165</t>
  </si>
  <si>
    <t>Security in the Bubble : Navigating Crime in Urban South Africa</t>
  </si>
  <si>
    <t>HV7150.5 -- .H468 2015eb</t>
  </si>
  <si>
    <t>https://ebookcentral.proquest.com/lib/cam/detail.action?docID=4391808</t>
  </si>
  <si>
    <t>Dignity of Labour for African Leaders : The Formation of Education Policy in the British Colonial Office and Achimota School</t>
  </si>
  <si>
    <t>LG499.A252 .Y363 2018</t>
  </si>
  <si>
    <t>https://ebookcentral.proquest.com/lib/cam/detail.action?docID=5488729</t>
  </si>
  <si>
    <t>Decolonising Colonial Education : Doing Away with Relics and Toxicity Embedded in the Racist Dominant Grand Narrative</t>
  </si>
  <si>
    <t>LC212.5 .M436 2019</t>
  </si>
  <si>
    <t>https://ebookcentral.proquest.com/lib/cam/detail.action?docID=5583834</t>
  </si>
  <si>
    <t>A Turbulent South Africa : Post-Apartheid Social Protest</t>
  </si>
  <si>
    <t>HN801.A8 .T687 2018</t>
  </si>
  <si>
    <t>https://ebookcentral.proquest.com/lib/cam/detail.action?docID=5317838</t>
  </si>
  <si>
    <t>Portugal's Guerrilla Wars in Africa : Lisbon's Three Wars in Angola, Mozambique and Portuguese Guinea 1961-74</t>
  </si>
  <si>
    <t>Helion &amp; Company</t>
  </si>
  <si>
    <t>DP680</t>
  </si>
  <si>
    <t>https://ebookcentral.proquest.com/lib/cam/detail.action?docID=1773530</t>
  </si>
  <si>
    <t>Slave Owners of West Africa : Decision Making in the Age of Abolition</t>
  </si>
  <si>
    <t>HT1331.G744 2017</t>
  </si>
  <si>
    <t>https://ebookcentral.proquest.com/lib/cam/detail.action?docID=4900808</t>
  </si>
  <si>
    <t>Dictionary of Southern African Place Names</t>
  </si>
  <si>
    <t>Jonathan Ball Publishers</t>
  </si>
  <si>
    <t>916.8/003/21;916.800321</t>
  </si>
  <si>
    <t>DT752.5 .R35 2014</t>
  </si>
  <si>
    <t>https://ebookcentral.proquest.com/lib/cam/detail.action?docID=1885394</t>
  </si>
  <si>
    <t>At Home with Apartheid : The Hidden Landscapes of Domestic Service in Johannesburg</t>
  </si>
  <si>
    <t>968.22/106</t>
  </si>
  <si>
    <t>DT1757.G56 2011</t>
  </si>
  <si>
    <t>https://ebookcentral.proquest.com/lib/cam/detail.action?docID=3444019</t>
  </si>
  <si>
    <t>Bound for Work : Labor, Mobility, and Colonial Rule in Central Mozambique, 1940-1965</t>
  </si>
  <si>
    <t>HD5717.5.M85G88 2018</t>
  </si>
  <si>
    <t>https://ebookcentral.proquest.com/lib/cam/detail.action?docID=5473045</t>
  </si>
  <si>
    <t>Ancient Rhetorics and Digital Networks</t>
  </si>
  <si>
    <t>https://ebookcentral.proquest.com/lib/cam/detail.action?docID=5252856</t>
  </si>
  <si>
    <t>Black Food Geographies : Race, Self-Reliance, and Food Access in Washington, D. C.</t>
  </si>
  <si>
    <t>363.8/509753</t>
  </si>
  <si>
    <t>F205.N4 .R447 2019</t>
  </si>
  <si>
    <t>https://ebookcentral.proquest.com/lib/cam/detail.action?docID=5726166</t>
  </si>
  <si>
    <t>The Dynamics of Language : Plenary and focus papers from the 20th International Congress of Linguists</t>
  </si>
  <si>
    <t>University of Cape Town Press</t>
  </si>
  <si>
    <t>P83 .D963 2018</t>
  </si>
  <si>
    <t>https://ebookcentral.proquest.com/lib/cam/detail.action?docID=5447463</t>
  </si>
  <si>
    <t>Weaving Cultures : The Invention of Colonial Art and Culture in the Philippines, 1565-1850</t>
  </si>
  <si>
    <t>Ateneo de Manila University Press</t>
  </si>
  <si>
    <t>DS674.J384 2017</t>
  </si>
  <si>
    <t>https://ebookcentral.proquest.com/lib/cam/detail.action?docID=4942006</t>
  </si>
  <si>
    <t>"History Is Bunk" : Assembling the Past at Henry Ford's Greenfield Village</t>
  </si>
  <si>
    <t>E161.S95 2014</t>
  </si>
  <si>
    <t>https://ebookcentral.proquest.com/lib/cam/detail.action?docID=4533194</t>
  </si>
  <si>
    <t>Britain and Italy in the Long Eighteenth Century : Literary and Art Theories</t>
  </si>
  <si>
    <t>Cambridge Scholars Publisher</t>
  </si>
  <si>
    <t>NX543 -- .B65 2010eb</t>
  </si>
  <si>
    <t>https://ebookcentral.proquest.com/lib/cam/detail.action?docID=1080618</t>
  </si>
  <si>
    <t>Graphic Culture : Illustration and Artistic Enterprise in Paris, 1830-1848</t>
  </si>
  <si>
    <t>769.944/36109034</t>
  </si>
  <si>
    <t>NE649.P3 .L476 2018</t>
  </si>
  <si>
    <t>https://ebookcentral.proquest.com/lib/cam/detail.action?docID=5448449</t>
  </si>
  <si>
    <t>Liberty and the Pursuit of Knowledge : Charles Renouvier's Political Philosophy of Science</t>
  </si>
  <si>
    <t>https://ebookcentral.proquest.com/lib/cam/detail.action?docID=5573515</t>
  </si>
  <si>
    <t>Digitization and Digital Archiving : A Practical Guide for Librarians</t>
  </si>
  <si>
    <t>Library Science; History</t>
  </si>
  <si>
    <t>CD973.D53 -- .L444 2014eb</t>
  </si>
  <si>
    <t>https://ebookcentral.proquest.com/lib/cam/detail.action?docID=1757687</t>
  </si>
  <si>
    <t>Politics and Public Space in Contemporary Argentine Poetry : The Lyric and the State</t>
  </si>
  <si>
    <t>861/.7093581</t>
  </si>
  <si>
    <t>https://ebookcentral.proquest.com/lib/cam/detail.action?docID=4723024</t>
  </si>
  <si>
    <t>Britain, France, West Germany and the People's Republic of China, 1969-1982 : The European Dimension of China's Great Transition</t>
  </si>
  <si>
    <t>327.405109/047</t>
  </si>
  <si>
    <t>https://ebookcentral.proquest.com/lib/cam/detail.action?docID=4756745</t>
  </si>
  <si>
    <t>Energy, the Modern State, and the American World System</t>
  </si>
  <si>
    <t>Business/Management; Environmental Studies; Economics</t>
  </si>
  <si>
    <t>HD9502.A2 .G669 2018</t>
  </si>
  <si>
    <t>https://ebookcentral.proquest.com/lib/cam/detail.action?docID=5317843</t>
  </si>
  <si>
    <t>At the Margin of Empire : John Webster and Hokianga, 1841–1900</t>
  </si>
  <si>
    <t>Literature; General Works/Reference</t>
  </si>
  <si>
    <t>Z8961.3 -- .A84 2015eb</t>
  </si>
  <si>
    <t>https://ebookcentral.proquest.com/lib/cam/detail.action?docID=1980126</t>
  </si>
  <si>
    <t>Colonial Literature and the Native Author : Indigeneity and Empire</t>
  </si>
  <si>
    <t>https://ebookcentral.proquest.com/lib/cam/detail.action?docID=4772457</t>
  </si>
  <si>
    <t>France, Britain, and the Struggle for the Revolutionary Western Mediterranean</t>
  </si>
  <si>
    <t>https://ebookcentral.proquest.com/lib/cam/detail.action?docID=4797417</t>
  </si>
  <si>
    <t>Believing Women in Islam : A Brief Introduction</t>
  </si>
  <si>
    <t>297.1/2283054</t>
  </si>
  <si>
    <t>BP134.W6 .B375 2018</t>
  </si>
  <si>
    <t>https://ebookcentral.proquest.com/lib/cam/detail.action?docID=5613328</t>
  </si>
  <si>
    <t>Ecocritical Aesthetics : Language, Beauty, and the Environment</t>
  </si>
  <si>
    <t>BH301.E58 .E263 2018</t>
  </si>
  <si>
    <t>https://ebookcentral.proquest.com/lib/cam/detail.action?docID=5327250</t>
  </si>
  <si>
    <t>Privileged Minorities : Syrian Christianity, Gender, and Minority Rights in Postcolonial India</t>
  </si>
  <si>
    <t>305.6/8154095483</t>
  </si>
  <si>
    <t>DS432.S965 .T466 2018</t>
  </si>
  <si>
    <t>https://ebookcentral.proquest.com/lib/cam/detail.action?docID=5548410</t>
  </si>
  <si>
    <t>Affective Materialities : Reorienting the Body in Modernist Literature</t>
  </si>
  <si>
    <t>820.9/3561</t>
  </si>
  <si>
    <t>PR888.M63 A44</t>
  </si>
  <si>
    <t>https://ebookcentral.proquest.com/lib/cam/detail.action?docID=5719562</t>
  </si>
  <si>
    <t>Lacan and Romanticism</t>
  </si>
  <si>
    <t>820.9/145</t>
  </si>
  <si>
    <t>PR457.L35 2019</t>
  </si>
  <si>
    <t>https://ebookcentral.proquest.com/lib/cam/detail.action?docID=5742360</t>
  </si>
  <si>
    <t>Sociological Theory Beyond the Canon</t>
  </si>
  <si>
    <t>https://ebookcentral.proquest.com/lib/cam/detail.action?docID=4867461</t>
  </si>
  <si>
    <t>Homeless Tongues : Poetry and Languages of the Sephardic Diaspora</t>
  </si>
  <si>
    <t>PN842</t>
  </si>
  <si>
    <t>https://ebookcentral.proquest.com/lib/cam/detail.action?docID=4557283</t>
  </si>
  <si>
    <t>African Medical Pluralism</t>
  </si>
  <si>
    <t>Medicine; Pharmacy</t>
  </si>
  <si>
    <t>R733.A375 2017eb</t>
  </si>
  <si>
    <t>https://ebookcentral.proquest.com/lib/cam/detail.action?docID=4812880</t>
  </si>
  <si>
    <t>Religion, Art, and Money : Episcopalians and American Culture from the Civil War to the Great Depression</t>
  </si>
  <si>
    <t>283/.7309034</t>
  </si>
  <si>
    <t>BX5882.W55 2016</t>
  </si>
  <si>
    <t>https://ebookcentral.proquest.com/lib/cam/detail.action?docID=4443590</t>
  </si>
  <si>
    <t>The Didache : A Missing Piece of the Puzzle in Early Christianity</t>
  </si>
  <si>
    <t>BS2940</t>
  </si>
  <si>
    <t>https://ebookcentral.proquest.com/lib/cam/detail.action?docID=3425751</t>
  </si>
  <si>
    <t>Mycenaean Messenia and the Kingdom of Pylos</t>
  </si>
  <si>
    <t>INSTAP Academic Press</t>
  </si>
  <si>
    <t>938/.9</t>
  </si>
  <si>
    <t>DF261.M45 -- .S56 2014eb</t>
  </si>
  <si>
    <t>https://ebookcentral.proquest.com/lib/cam/detail.action?docID=1756002</t>
  </si>
  <si>
    <t>Fractured Families : Life on the Margins in Colonial New South Wales</t>
  </si>
  <si>
    <t>994.402;994.402092</t>
  </si>
  <si>
    <t>CT2808</t>
  </si>
  <si>
    <t>https://ebookcentral.proquest.com/lib/cam/detail.action?docID=1997095</t>
  </si>
  <si>
    <t>Constructing the Patriarchal City : Gender and the Built Environments of London, Dublin, Toronto, and Chicago, 1870s into The 1940s</t>
  </si>
  <si>
    <t>307.1/2160977311</t>
  </si>
  <si>
    <t>HT168</t>
  </si>
  <si>
    <t>https://ebookcentral.proquest.com/lib/cam/detail.action?docID=5352580</t>
  </si>
  <si>
    <t>American Tropics : The Caribbean Roots of Biodiversity Science</t>
  </si>
  <si>
    <t>Science; Economics; Environmental Studies; Science: Biology/Natural History</t>
  </si>
  <si>
    <t>QH541.15.B56.R339 2017</t>
  </si>
  <si>
    <t>https://ebookcentral.proquest.com/lib/cam/detail.action?docID=5105872</t>
  </si>
  <si>
    <t>Heaven and Earth Are Not Humane : The Problem of Evil in Classical Chinese Philosophy</t>
  </si>
  <si>
    <t>B126 -- .P475 2014eb</t>
  </si>
  <si>
    <t>https://ebookcentral.proquest.com/lib/cam/detail.action?docID=1782257</t>
  </si>
  <si>
    <t>Man Out : Men on the Sidelines of American Life</t>
  </si>
  <si>
    <t>HQ1090.3 .Y37 2018</t>
  </si>
  <si>
    <t>https://ebookcentral.proquest.com/lib/cam/detail.action?docID=5180009</t>
  </si>
  <si>
    <t>Familiar Futures : Time, Selfhood, and Sovereignty in Iraq</t>
  </si>
  <si>
    <t>https://ebookcentral.proquest.com/lib/cam/detail.action?docID=5594256</t>
  </si>
  <si>
    <t>Pagans and Christians in the Late Roman Empire : New Evidence, New Approaches (4th–8th centuries)</t>
  </si>
  <si>
    <t>BR128.R7 .P343 2017</t>
  </si>
  <si>
    <t>https://ebookcentral.proquest.com/lib/cam/detail.action?docID=5217306</t>
  </si>
  <si>
    <t>Reading the Male Gaze in Literature and Culture : Studies in Erotic Epistemology</t>
  </si>
  <si>
    <t>https://ebookcentral.proquest.com/lib/cam/detail.action?docID=5097014</t>
  </si>
  <si>
    <t>Mystery of the Church, People of God : Yves Congar's Total Ecclesiology As a Path to Vatican II</t>
  </si>
  <si>
    <t>262/.02092</t>
  </si>
  <si>
    <t>BX1746</t>
  </si>
  <si>
    <t>https://ebookcentral.proquest.com/lib/cam/detail.action?docID=3135181</t>
  </si>
  <si>
    <t>Immersive Words : Mass Media, Visuality, and American Literature, 1839-1893</t>
  </si>
  <si>
    <t>820.9/357</t>
  </si>
  <si>
    <t>https://ebookcentral.proquest.com/lib/cam/detail.action?docID=2001960</t>
  </si>
  <si>
    <t>American by Paper : How Documents Matter in Immigrant Literacy</t>
  </si>
  <si>
    <t>305.9/069120973</t>
  </si>
  <si>
    <t>JV6475.V54 2016</t>
  </si>
  <si>
    <t>https://ebookcentral.proquest.com/lib/cam/detail.action?docID=4392059</t>
  </si>
  <si>
    <t>The Chinese and the Iron Road : Building the Transcontinental Railroad</t>
  </si>
  <si>
    <t>HD8039.R3152 .C456 2019</t>
  </si>
  <si>
    <t>https://ebookcentral.proquest.com/lib/cam/detail.action?docID=5721155</t>
  </si>
  <si>
    <t>Forging the "Bee Line" Railroad, 1848-1889 : The Rise and Fall of the Hoosier Partisans and Cleveland Clique</t>
  </si>
  <si>
    <t>HE2791.O476 2016</t>
  </si>
  <si>
    <t>https://ebookcentral.proquest.com/lib/cam/detail.action?docID=4779033</t>
  </si>
  <si>
    <t>The Louisville, Cincinnati and Charleston Rail Road : Dreams of Linking North and South</t>
  </si>
  <si>
    <t>385.06/5777</t>
  </si>
  <si>
    <t>HE2791.L883.G73 201</t>
  </si>
  <si>
    <t>https://ebookcentral.proquest.com/lib/cam/detail.action?docID=1672952</t>
  </si>
  <si>
    <t>The Iron Road in the Prairie State : The Story of Illinois Railroading</t>
  </si>
  <si>
    <t>HE2771.I4C67 2016</t>
  </si>
  <si>
    <t>https://ebookcentral.proquest.com/lib/cam/detail.action?docID=4087223</t>
  </si>
  <si>
    <t>Electric Interurbans and the American People</t>
  </si>
  <si>
    <t>HE4471.G73 2016</t>
  </si>
  <si>
    <t>https://ebookcentral.proquest.com/lib/cam/detail.action?docID=4709296</t>
  </si>
  <si>
    <t>Popular Democracy : The Paradox of Participation</t>
  </si>
  <si>
    <t>JF799</t>
  </si>
  <si>
    <t>https://ebookcentral.proquest.com/lib/cam/detail.action?docID=4769971</t>
  </si>
  <si>
    <t>Performing Trauma in Central Africa : Shadows of Empire</t>
  </si>
  <si>
    <t>PN2041.W37 .E36 2018</t>
  </si>
  <si>
    <t>https://ebookcentral.proquest.com/lib/cam/detail.action?docID=5330843</t>
  </si>
  <si>
    <t>Slaves of the State : Black Incarceration from the Chain Gang to the Penitentiary</t>
  </si>
  <si>
    <t>365/.608996073</t>
  </si>
  <si>
    <t>HV9471 -- .C455 2015eb</t>
  </si>
  <si>
    <t>https://ebookcentral.proquest.com/lib/cam/detail.action?docID=2002090</t>
  </si>
  <si>
    <t>For the War yet to Come : Planning Beirut's Frontiers</t>
  </si>
  <si>
    <t>HT169.L42 .B68 2018</t>
  </si>
  <si>
    <t>https://ebookcentral.proquest.com/lib/cam/detail.action?docID=5451801</t>
  </si>
  <si>
    <t>Images of the Canton Factories 1760–1822 : Reading History in Art</t>
  </si>
  <si>
    <t>ND1043.5.V36 2015</t>
  </si>
  <si>
    <t>https://ebookcentral.proquest.com/lib/cam/detail.action?docID=4413578</t>
  </si>
  <si>
    <t>Cultural Heritage in Mali in the Neoliberal Era</t>
  </si>
  <si>
    <t>363.6/9096623</t>
  </si>
  <si>
    <t>DT551</t>
  </si>
  <si>
    <t>https://ebookcentral.proquest.com/lib/cam/detail.action?docID=4443549</t>
  </si>
  <si>
    <t>The Pursuit of Ruins</t>
  </si>
  <si>
    <t>F1219.B918 2016</t>
  </si>
  <si>
    <t>https://ebookcentral.proquest.com/lib/cam/detail.action?docID=4562659</t>
  </si>
  <si>
    <t>Staging Strangers : Theatre and Global Ethics</t>
  </si>
  <si>
    <t>792.01/3</t>
  </si>
  <si>
    <t>PN2041.G56.F744 2017</t>
  </si>
  <si>
    <t>https://ebookcentral.proquest.com/lib/cam/detail.action?docID=4790209</t>
  </si>
  <si>
    <t>Global Cities : A Short History</t>
  </si>
  <si>
    <t>HT371</t>
  </si>
  <si>
    <t>https://ebookcentral.proquest.com/lib/cam/detail.action?docID=4549536</t>
  </si>
  <si>
    <t>The Trade in the Living : The Formation of Brazil in the South Atlantic, Sixteenth to Seventeenth Centuries</t>
  </si>
  <si>
    <t>306.3/62098109031</t>
  </si>
  <si>
    <t>HT1126 .A446 2018</t>
  </si>
  <si>
    <t>https://ebookcentral.proquest.com/lib/cam/detail.action?docID=5549100</t>
  </si>
  <si>
    <t>Overcoming Niagara : Canals, Commerce, and Tourism in the Niagara-Great Lakes Borderland Region, 1792-1837</t>
  </si>
  <si>
    <t>386/.409747</t>
  </si>
  <si>
    <t>HE395.N74 .L375 2018</t>
  </si>
  <si>
    <t>https://ebookcentral.proquest.com/lib/cam/detail.action?docID=5301700</t>
  </si>
  <si>
    <t>Maritime Landscape of the Isthmus of Panamá</t>
  </si>
  <si>
    <t>F1566.45 -- .M375 2016eb</t>
  </si>
  <si>
    <t>https://ebookcentral.proquest.com/lib/cam/detail.action?docID=4570859</t>
  </si>
  <si>
    <t>An Agrarian Republic : Farming, Antislavery Politics, and Nature Parks in the Civil War Era</t>
  </si>
  <si>
    <t xml:space="preserve">320.97309/034 </t>
  </si>
  <si>
    <t>E415.7.D436 2015eb</t>
  </si>
  <si>
    <t>https://ebookcentral.proquest.com/lib/cam/detail.action?docID=3039520</t>
  </si>
  <si>
    <t>From Prohibited Persons to Immigrants : The Origins of Citizenship and Nationality in South Africa</t>
  </si>
  <si>
    <t>JQ1983.K533 2017</t>
  </si>
  <si>
    <t>https://ebookcentral.proquest.com/lib/cam/detail.action?docID=5116835</t>
  </si>
  <si>
    <t>An Imperfect Occupation : Enduring the South African War</t>
  </si>
  <si>
    <t>DT1896</t>
  </si>
  <si>
    <t>https://ebookcentral.proquest.com/lib/cam/detail.action?docID=4306037</t>
  </si>
  <si>
    <t>Last Outpost on the Zulu Frontier : Fort Napier and the British Imperial Garrison</t>
  </si>
  <si>
    <t>355.709684/75</t>
  </si>
  <si>
    <t>U375</t>
  </si>
  <si>
    <t>https://ebookcentral.proquest.com/lib/cam/detail.action?docID=4443535</t>
  </si>
  <si>
    <t>Feeling Faint : Affect and Consciousness in the Renaissance</t>
  </si>
  <si>
    <t>PN720</t>
  </si>
  <si>
    <t>https://ebookcentral.proquest.com/lib/cam/detail.action?docID=5642634</t>
  </si>
  <si>
    <t>To Turn the Whole World Over : Black Women and Internationalism</t>
  </si>
  <si>
    <t>https://ebookcentral.proquest.com/lib/cam/detail.action?docID=5747462</t>
  </si>
  <si>
    <t>The Forge and the Funeral : The Smith in Kapsiki/Higi Culture</t>
  </si>
  <si>
    <t>DT571</t>
  </si>
  <si>
    <t>https://ebookcentral.proquest.com/lib/cam/detail.action?docID=4413801</t>
  </si>
  <si>
    <t>The Politics of Compassion : The Sichuan Earthquake and Civic Engagement in China</t>
  </si>
  <si>
    <t>JQ1516.X8 2017</t>
  </si>
  <si>
    <t>https://ebookcentral.proquest.com/lib/cam/detail.action?docID=4983441</t>
  </si>
  <si>
    <t>Mourning Remains : State Atrocity, Exhumations, and Governing the Disappeared in Peru's Postwar Andes</t>
  </si>
  <si>
    <t>HV6322.3.P4.R653 2017</t>
  </si>
  <si>
    <t>https://ebookcentral.proquest.com/lib/cam/detail.action?docID=4935934</t>
  </si>
  <si>
    <t>Mexico in the Time of Cholera</t>
  </si>
  <si>
    <t>Medicine; Social Science; Health</t>
  </si>
  <si>
    <t>RA644.C3 .S748 2019</t>
  </si>
  <si>
    <t>https://ebookcentral.proquest.com/lib/cam/detail.action?docID=5745461</t>
  </si>
  <si>
    <t>Landscape and Politics in the Ancient Andes : Biographies of Place at Khonkho Wankane</t>
  </si>
  <si>
    <t>F3319.1.K46.S65 2016eb</t>
  </si>
  <si>
    <t>https://ebookcentral.proquest.com/lib/cam/detail.action?docID=4562657</t>
  </si>
  <si>
    <t>Radio in Revolution : Wireless Technology and State Power in Mexico, 1897–1938</t>
  </si>
  <si>
    <t>History; Business/Management</t>
  </si>
  <si>
    <t>HE8697.85.M6 -- .C378 2016eb</t>
  </si>
  <si>
    <t>https://ebookcentral.proquest.com/lib/cam/detail.action?docID=4529740</t>
  </si>
  <si>
    <t>Alice in Pornoland : Hardcore Encounters with the Victorian Gothic</t>
  </si>
  <si>
    <t>https://ebookcentral.proquest.com/lib/cam/detail.action?docID=5589483</t>
  </si>
  <si>
    <t>Homeland Maternity : US Security Culture and the New Reproductive Regime</t>
  </si>
  <si>
    <t>https://ebookcentral.proquest.com/lib/cam/detail.action?docID=5750342</t>
  </si>
  <si>
    <t>Dirty Words and Filthy Pictures : Film and the First Amendment</t>
  </si>
  <si>
    <t>Social Science; Law</t>
  </si>
  <si>
    <t>KFT1795.T78 2016</t>
  </si>
  <si>
    <t>https://ebookcentral.proquest.com/lib/cam/detail.action?docID=4401776</t>
  </si>
  <si>
    <t>Legacy of the Lash : Race and Corporal Punishment in the Brazilian Navy and the Atlantic World</t>
  </si>
  <si>
    <t>History; Military Science</t>
  </si>
  <si>
    <t>359.1/332508996081</t>
  </si>
  <si>
    <t>F2537 -- .M77 2014eb</t>
  </si>
  <si>
    <t>https://ebookcentral.proquest.com/lib/cam/detail.action?docID=1794179</t>
  </si>
  <si>
    <t>First Taste of Freedom : A Cultural History of Bicycle Marketing in the United States</t>
  </si>
  <si>
    <t>Engineering: General; Engineering</t>
  </si>
  <si>
    <t>https://ebookcentral.proquest.com/lib/cam/detail.action?docID=5433787</t>
  </si>
  <si>
    <t>The Kinetoscope : A British History</t>
  </si>
  <si>
    <t>PN1993.5.G7.B769 2017</t>
  </si>
  <si>
    <t>https://ebookcentral.proquest.com/lib/cam/detail.action?docID=5061565</t>
  </si>
  <si>
    <t>Railroads and the American People</t>
  </si>
  <si>
    <t>Business/Management; Engineering; Engineering: Civil</t>
  </si>
  <si>
    <t>TF23.G677 2012</t>
  </si>
  <si>
    <t>https://ebookcentral.proquest.com/lib/cam/detail.action?docID=784507</t>
  </si>
  <si>
    <t>Seismic City : An Environmental History of San Francisco's 1906 Earthquake</t>
  </si>
  <si>
    <t>https://ebookcentral.proquest.com/lib/cam/detail.action?docID=5150775</t>
  </si>
  <si>
    <t>Modernizing Solitude : The Networked Individual in Nineteenth-Century American Literature</t>
  </si>
  <si>
    <t>810.9/35109034</t>
  </si>
  <si>
    <t>https://ebookcentral.proquest.com/lib/cam/detail.action?docID=5640353</t>
  </si>
  <si>
    <t>Desiring the Beautiful</t>
  </si>
  <si>
    <t>BT767.8 .I936 2019</t>
  </si>
  <si>
    <t>https://ebookcentral.proquest.com/lib/cam/detail.action?docID=5725338</t>
  </si>
  <si>
    <t>Frontiers of Colonialism</t>
  </si>
  <si>
    <t>JV105.F766 2017</t>
  </si>
  <si>
    <t>https://ebookcentral.proquest.com/lib/cam/detail.action?docID=4873560</t>
  </si>
  <si>
    <t>Caught between the Lines : Captives, Frontiers, and National Identity in Argentine Literature and Art</t>
  </si>
  <si>
    <t>860.9/982</t>
  </si>
  <si>
    <t>PQ7622.N24 .R563 2019</t>
  </si>
  <si>
    <t>https://ebookcentral.proquest.com/lib/cam/detail.action?docID=5709605</t>
  </si>
  <si>
    <t>Melodramatic Imperial Writing : From the Sepoy Rebellion to Cecil Rhodes</t>
  </si>
  <si>
    <t>828/.08</t>
  </si>
  <si>
    <t>PR751 -- .H76 2014eb</t>
  </si>
  <si>
    <t>https://ebookcentral.proquest.com/lib/cam/detail.action?docID=1743580</t>
  </si>
  <si>
    <t>A Communion of Shadows : Religion and Photography in Nineteenth-Century America</t>
  </si>
  <si>
    <t>BL2525 .L553 2017</t>
  </si>
  <si>
    <t>https://ebookcentral.proquest.com/lib/cam/detail.action?docID=5108567</t>
  </si>
  <si>
    <t>Gears and God : Technocratic Fiction, Faith, and Empire in Mark Twain's America</t>
  </si>
  <si>
    <t>813/.409</t>
  </si>
  <si>
    <t>https://ebookcentral.proquest.com/lib/cam/detail.action?docID=5453484</t>
  </si>
  <si>
    <t>The Global Dimensions of Irish Identity : Race, Nation, and the Popular Press, 1840-1880</t>
  </si>
  <si>
    <t>DA950.1 -- .M363 2015eb</t>
  </si>
  <si>
    <t>https://ebookcentral.proquest.com/lib/cam/detail.action?docID=3571145</t>
  </si>
  <si>
    <t>Interwoven : Andean Lives in Colonial Ecuador's Textile Economy</t>
  </si>
  <si>
    <t>F3721</t>
  </si>
  <si>
    <t>https://ebookcentral.proquest.com/lib/cam/detail.action?docID=5247208</t>
  </si>
  <si>
    <t>Contesting French West Africa : Battles over Schools and the Colonial Order, 1900–1950</t>
  </si>
  <si>
    <t>LA1661.G363 2017</t>
  </si>
  <si>
    <t>https://ebookcentral.proquest.com/lib/cam/detail.action?docID=4921963</t>
  </si>
  <si>
    <t>Theirs Not to Reason Why' : Horsing the British Army, 1875-1925</t>
  </si>
  <si>
    <t>U767</t>
  </si>
  <si>
    <t>https://ebookcentral.proquest.com/lib/cam/detail.action?docID=1773528</t>
  </si>
  <si>
    <t>Contemplating Friendship in Aristotle's Ethics</t>
  </si>
  <si>
    <t>B430.W37 2016</t>
  </si>
  <si>
    <t>https://ebookcentral.proquest.com/lib/cam/detail.action?docID=4710090</t>
  </si>
  <si>
    <t>Reading Rio de Janeiro : Literature and Society in the Nineteenth Century</t>
  </si>
  <si>
    <t>869.3/30998153</t>
  </si>
  <si>
    <t>PQ9601</t>
  </si>
  <si>
    <t>https://ebookcentral.proquest.com/lib/cam/detail.action?docID=4414770</t>
  </si>
  <si>
    <t>Topophrenia : Place, Narrative, and the Spatial Imagination</t>
  </si>
  <si>
    <t>PN56.S667 .T355 2018</t>
  </si>
  <si>
    <t>https://ebookcentral.proquest.com/lib/cam/detail.action?docID=5580999</t>
  </si>
  <si>
    <t>Ancient Ink : The Archaeology of Tattooing</t>
  </si>
  <si>
    <t>391.6/5</t>
  </si>
  <si>
    <t>MB</t>
  </si>
  <si>
    <t>https://ebookcentral.proquest.com/lib/cam/detail.action?docID=5548411</t>
  </si>
  <si>
    <t>Common Threads : A Cultural History of Clothing in American Catholicism</t>
  </si>
  <si>
    <t>391.0088/28273</t>
  </si>
  <si>
    <t>BX1406.3 -- .D89 2014eb</t>
  </si>
  <si>
    <t>https://ebookcentral.proquest.com/lib/cam/detail.action?docID=1655862</t>
  </si>
  <si>
    <t>Crossings in Text and Textile</t>
  </si>
  <si>
    <t>809/.933564</t>
  </si>
  <si>
    <t>PN56.C684 -- .C76 2015eb</t>
  </si>
  <si>
    <t>https://ebookcentral.proquest.com/lib/cam/detail.action?docID=1882397</t>
  </si>
  <si>
    <t>Transforming the Fisheries : Neoliberalism, Nature, and the Commons</t>
  </si>
  <si>
    <t>Business/Management; Economics; Agriculture</t>
  </si>
  <si>
    <t>SH253.B74 2016</t>
  </si>
  <si>
    <t>https://ebookcentral.proquest.com/lib/cam/detail.action?docID=4406115</t>
  </si>
  <si>
    <t>The Wild and the Toxic : American Environmentalism and the Politics of Health</t>
  </si>
  <si>
    <t>362.1969/8</t>
  </si>
  <si>
    <t>RA566.3 .T466 2019</t>
  </si>
  <si>
    <t>https://ebookcentral.proquest.com/lib/cam/detail.action?docID=5741931</t>
  </si>
  <si>
    <t>Street Occupations : Urban Vending in Rio de Janeiro, 1850-1925</t>
  </si>
  <si>
    <t>HF5459.B6.A247 2017</t>
  </si>
  <si>
    <t>https://ebookcentral.proquest.com/lib/cam/detail.action?docID=5105846</t>
  </si>
  <si>
    <t>Southern Water, Southern Power : How the Politics of Cheap Energy and Water Scarcity Shaped a Region</t>
  </si>
  <si>
    <t>Agriculture; Economics; Environmental Studies; Business/Management</t>
  </si>
  <si>
    <t>333.91/40975</t>
  </si>
  <si>
    <t>HD1694.A5 -- .M364 2015eb</t>
  </si>
  <si>
    <t>https://ebookcentral.proquest.com/lib/cam/detail.action?docID=3039549</t>
  </si>
  <si>
    <t>Funeral Culture : AIDS, Work, and Cultural Change in an African Kingdom</t>
  </si>
  <si>
    <t>https://ebookcentral.proquest.com/lib/cam/detail.action?docID=5430367</t>
  </si>
  <si>
    <t>From Author to Copyist : Essays on the Composition, Redaction, and Transmission of the Hebrew Bible in Honor of Zipi Talshir</t>
  </si>
  <si>
    <t>221.6/6</t>
  </si>
  <si>
    <t>BS1182.4.F76 2015</t>
  </si>
  <si>
    <t>https://ebookcentral.proquest.com/lib/cam/detail.action?docID=4395079</t>
  </si>
  <si>
    <t>The Far Edges of the Fourth Genre : An Anthology of Explorations in Creative Nonfiction</t>
  </si>
  <si>
    <t>PN145</t>
  </si>
  <si>
    <t>https://ebookcentral.proquest.com/lib/cam/detail.action?docID=3338345</t>
  </si>
  <si>
    <t>Theodor Adorno and the Century of Negative Identity</t>
  </si>
  <si>
    <t>B3199.A34 .O24 2018</t>
  </si>
  <si>
    <t>https://ebookcentral.proquest.com/lib/cam/detail.action?docID=5447538</t>
  </si>
  <si>
    <t>Identification Revolution : Can Digital ID be Harnessed for Development?</t>
  </si>
  <si>
    <t>HD9999.P3952 .G453 2018</t>
  </si>
  <si>
    <t>https://ebookcentral.proquest.com/lib/cam/detail.action?docID=5179991</t>
  </si>
  <si>
    <t>Exile Identity, Agency and Belonging in South Africa : The Masupatsela Generation</t>
  </si>
  <si>
    <t>https://ebookcentral.proquest.com/lib/cam/detail.action?docID=4915534</t>
  </si>
  <si>
    <t>Rwanda and the New Scramble for Africa : From Tragedy to Useful Imperial Fiction</t>
  </si>
  <si>
    <t>Baraka Books</t>
  </si>
  <si>
    <t>DT450.435 -- .P45 2013eb</t>
  </si>
  <si>
    <t>https://ebookcentral.proquest.com/lib/cam/detail.action?docID=1577479</t>
  </si>
  <si>
    <t>Connected : How Trains, Genes, Pineapples, Piano Keys, and a Few Disasters Transformed Americans at the Dawn of the Twentieth Century</t>
  </si>
  <si>
    <t>E169</t>
  </si>
  <si>
    <t>https://ebookcentral.proquest.com/lib/cam/detail.action?docID=1524366</t>
  </si>
  <si>
    <t>The Microbial State : Global Thriving and the Body Politic</t>
  </si>
  <si>
    <t>JC11.F574 2017</t>
  </si>
  <si>
    <t>https://ebookcentral.proquest.com/lib/cam/detail.action?docID=5010599</t>
  </si>
  <si>
    <t>Driven by Fear : Epidemics and Isolation in San Francisco's House of Pestilence</t>
  </si>
  <si>
    <t>Health; History; Social Science</t>
  </si>
  <si>
    <t>RA448</t>
  </si>
  <si>
    <t>https://ebookcentral.proquest.com/lib/cam/detail.action?docID=4306060</t>
  </si>
  <si>
    <t>For Foucault : Against Normative Political Theory</t>
  </si>
  <si>
    <t>JA71 .K455 2018</t>
  </si>
  <si>
    <t>https://ebookcentral.proquest.com/lib/cam/detail.action?docID=5210804</t>
  </si>
  <si>
    <t>The African Renaissance and the Afro-Arab Spring : A Season of Rebirth?</t>
  </si>
  <si>
    <t>DT30.5 .A365 2015</t>
  </si>
  <si>
    <t>https://ebookcentral.proquest.com/lib/cam/detail.action?docID=2059822</t>
  </si>
  <si>
    <t>The Politics of Lists : Bureaucracy and Genocide under the Khmer Rouge</t>
  </si>
  <si>
    <t>DS554</t>
  </si>
  <si>
    <t>https://ebookcentral.proquest.com/lib/cam/detail.action?docID=5599501</t>
  </si>
  <si>
    <t>Water and Power in Past Societies</t>
  </si>
  <si>
    <t>Science; History; Science: Geology</t>
  </si>
  <si>
    <t>CB482 .W384 2018</t>
  </si>
  <si>
    <t>https://ebookcentral.proquest.com/lib/cam/detail.action?docID=5396608</t>
  </si>
  <si>
    <t>1968 and Global Cinema</t>
  </si>
  <si>
    <t>PN1993.5.A1 .N564 2018</t>
  </si>
  <si>
    <t>https://ebookcentral.proquest.com/lib/cam/detail.action?docID=5503311</t>
  </si>
  <si>
    <t>Sisters in Spirit : Christianity, Affect, and Community Building in East Africa, 1860-1970</t>
  </si>
  <si>
    <t>266/.367</t>
  </si>
  <si>
    <t>BV3530</t>
  </si>
  <si>
    <t>https://ebookcentral.proquest.com/lib/cam/detail.action?docID=4793236</t>
  </si>
  <si>
    <t>Columns of Vengeance : Soldiers, Sioux, and the Punitive Expeditions, 1863-1864</t>
  </si>
  <si>
    <t>E83.86 -- .B44 2013eb</t>
  </si>
  <si>
    <t>https://ebookcentral.proquest.com/lib/cam/detail.action?docID=3441259</t>
  </si>
  <si>
    <t>Mythic Frontiers : Remembering, Forgetting, and Profiting with Cultural Heritage Tourism</t>
  </si>
  <si>
    <t>976.7/36</t>
  </si>
  <si>
    <t>F419.F7 M28</t>
  </si>
  <si>
    <t>https://ebookcentral.proquest.com/lib/cam/detail.action?docID=4746902</t>
  </si>
  <si>
    <t>Birch Bayh : Making a Difference</t>
  </si>
  <si>
    <t>E840.8.B38 .B534 2019</t>
  </si>
  <si>
    <t>https://ebookcentral.proquest.com/lib/cam/detail.action?docID=5723964</t>
  </si>
  <si>
    <t>Archaeology of Babel : The Colonial Foundation of the Humanities</t>
  </si>
  <si>
    <t>P41 .A37 2018</t>
  </si>
  <si>
    <t>https://ebookcentral.proquest.com/lib/cam/detail.action?docID=5178034</t>
  </si>
  <si>
    <t>A Field on Fire : The Future of Environmental History</t>
  </si>
  <si>
    <t>GF13+</t>
  </si>
  <si>
    <t>https://ebookcentral.proquest.com/lib/cam/detail.action?docID=5633609</t>
  </si>
  <si>
    <t>Southern Mercy : Empire and American Civilization in Juvenile Reform, 1890-1944</t>
  </si>
  <si>
    <t>HV9105.N9.B535 2016</t>
  </si>
  <si>
    <t>https://ebookcentral.proquest.com/lib/cam/detail.action?docID=4768319</t>
  </si>
  <si>
    <t>Science Without Frontiers : Cosmopolitanism and National Interests in the World of Learning, 1870–1940</t>
  </si>
  <si>
    <t>Oregon State University</t>
  </si>
  <si>
    <t>Economics; Science; Business/Management</t>
  </si>
  <si>
    <t>338.9/2609041</t>
  </si>
  <si>
    <t>Q223</t>
  </si>
  <si>
    <t>https://ebookcentral.proquest.com/lib/cam/detail.action?docID=5087162</t>
  </si>
  <si>
    <t>Drinking from the Cosmic Gourd : How Amos Tutuola Can Change Our Minds</t>
  </si>
  <si>
    <t>PR9387.9.T8.N936 2017</t>
  </si>
  <si>
    <t>https://ebookcentral.proquest.com/lib/cam/detail.action?docID=4838309</t>
  </si>
  <si>
    <t>Hawaiian by Birth : Missionary Children, Bicultural Identity, and U.S. Colonialism in the Pacific</t>
  </si>
  <si>
    <t>BV2094.5.S385 2017</t>
  </si>
  <si>
    <t>https://ebookcentral.proquest.com/lib/cam/detail.action?docID=4921961</t>
  </si>
  <si>
    <t>Anton Bruckner : The Man and the Work</t>
  </si>
  <si>
    <t>ML410.B88 -- .F613 2015eb</t>
  </si>
  <si>
    <t>https://ebookcentral.proquest.com/lib/cam/detail.action?docID=1952830</t>
  </si>
  <si>
    <t>Tales in Context : Sefer ha-ma'asim in Medieval Northern France</t>
  </si>
  <si>
    <t>GR98 .K874 2017</t>
  </si>
  <si>
    <t>https://ebookcentral.proquest.com/lib/cam/detail.action?docID=5647941</t>
  </si>
  <si>
    <t>The Politics of Unreason : The Frankfurt School and the Origins of Modern Antisemitism</t>
  </si>
  <si>
    <t>305.892/40072243</t>
  </si>
  <si>
    <t>DS145.R467 2017</t>
  </si>
  <si>
    <t>https://ebookcentral.proquest.com/lib/cam/detail.action?docID=4931471</t>
  </si>
  <si>
    <t>Body/Self/Other : The Phenomenology of Social Encounters</t>
  </si>
  <si>
    <t>HM1106.B639 2017</t>
  </si>
  <si>
    <t>https://ebookcentral.proquest.com/lib/cam/detail.action?docID=4931466</t>
  </si>
  <si>
    <t>The Magnitude of Genocide</t>
  </si>
  <si>
    <t>364.15/1</t>
  </si>
  <si>
    <t>HV6322.7 -- .T377 2016eb</t>
  </si>
  <si>
    <t>https://ebookcentral.proquest.com/lib/cam/detail.action?docID=4415179</t>
  </si>
  <si>
    <t>Iconoclasm As Child's Play</t>
  </si>
  <si>
    <t>BL65.P6 .M674 2019</t>
  </si>
  <si>
    <t>https://ebookcentral.proquest.com/lib/cam/detail.action?docID=5675601</t>
  </si>
  <si>
    <t>The Singular Voice of Being : John Duns Scotus and Ultimate Difference</t>
  </si>
  <si>
    <t>B765.D74 .L394 2019</t>
  </si>
  <si>
    <t>https://ebookcentral.proquest.com/lib/cam/detail.action?docID=5739520</t>
  </si>
  <si>
    <t>Whites Recall the Civil Rights Movement in Birmingham : We Didn't Know It Was History until after It Happened</t>
  </si>
  <si>
    <t>https://ebookcentral.proquest.com/lib/cam/detail.action?docID=4738850</t>
  </si>
  <si>
    <t>The Projected Nation : Argentine Cinema and the Social Margins</t>
  </si>
  <si>
    <t>PN1993.5.A7 .L673 2018</t>
  </si>
  <si>
    <t>https://ebookcentral.proquest.com/lib/cam/detail.action?docID=5473313</t>
  </si>
  <si>
    <t>Arts of Being Yoruba : Divination, Allegory, Tragedy, Proverb, Panegyric</t>
  </si>
  <si>
    <t>305.896/333</t>
  </si>
  <si>
    <t>DT515.45.Y67.A344 2017</t>
  </si>
  <si>
    <t>https://ebookcentral.proquest.com/lib/cam/detail.action?docID=5041719</t>
  </si>
  <si>
    <t>Heroes and Heroism in British Fiction Since 1800 : Case Studies</t>
  </si>
  <si>
    <t>https://ebookcentral.proquest.com/lib/cam/detail.action?docID=4738844</t>
  </si>
  <si>
    <t>Boats on the Marne : Jean Renoir's Critique of Modernity</t>
  </si>
  <si>
    <t>PN1998.3.R46.Y686 2017</t>
  </si>
  <si>
    <t>https://ebookcentral.proquest.com/lib/cam/detail.action?docID=5108228</t>
  </si>
  <si>
    <t>Linguistic Purism : Language Attitudes in France and Quebec</t>
  </si>
  <si>
    <t>306.442/41</t>
  </si>
  <si>
    <t>P40.5.L354.W357 2016eb</t>
  </si>
  <si>
    <t>https://ebookcentral.proquest.com/lib/cam/detail.action?docID=4647643</t>
  </si>
  <si>
    <t>Italian Ecocinema Beyond the Human</t>
  </si>
  <si>
    <t>791.43/6553</t>
  </si>
  <si>
    <t>PN1995.9.E78 .P378 2019</t>
  </si>
  <si>
    <t>https://ebookcentral.proquest.com/lib/cam/detail.action?docID=5652172</t>
  </si>
  <si>
    <t>Ideals of the Body : Architecture, Urbanism, and Hygiene in Postrevolutionary Paris</t>
  </si>
  <si>
    <t>NA2543.S6 .P375 2018</t>
  </si>
  <si>
    <t>https://ebookcentral.proquest.com/lib/cam/detail.action?docID=5413430</t>
  </si>
  <si>
    <t>Wealth and Disaster : Atlantic Migrations from a Pyrenean Town in the Eighteenth and Nineteenth Centuries</t>
  </si>
  <si>
    <t>Johns Hopkins University Press</t>
  </si>
  <si>
    <t>F1929.C3.F673 2016</t>
  </si>
  <si>
    <t>https://ebookcentral.proquest.com/lib/cam/detail.action?docID=4531477</t>
  </si>
  <si>
    <t>The Nature of the Path : Reading a West African Road</t>
  </si>
  <si>
    <t>HE367.B452.F555 2017</t>
  </si>
  <si>
    <t>https://ebookcentral.proquest.com/lib/cam/detail.action?docID=4745553</t>
  </si>
  <si>
    <t>Public Art in South Africa : Bronze Warriors and Plastic Presidents</t>
  </si>
  <si>
    <t>N8846.S6.P835 2017</t>
  </si>
  <si>
    <t>https://ebookcentral.proquest.com/lib/cam/detail.action?docID=5110002</t>
  </si>
  <si>
    <t>To Master the Boundless Sea : The U. S. Navy, the Marine Environment, and the Cartography of Empire</t>
  </si>
  <si>
    <t>E182 .S658 2018</t>
  </si>
  <si>
    <t>https://ebookcentral.proquest.com/lib/cam/detail.action?docID=5347160</t>
  </si>
  <si>
    <t>Deep Time, Dark Times : On Being Geologically Human</t>
  </si>
  <si>
    <t>B821 .W664 2019</t>
  </si>
  <si>
    <t>https://ebookcentral.proquest.com/lib/cam/detail.action?docID=5568656</t>
  </si>
  <si>
    <t>Power, Political Economy, and Historical Landscapes of the Modern World : Interdisciplinary Perspectives</t>
  </si>
  <si>
    <t>330.9/03</t>
  </si>
  <si>
    <t>HC21.P688 2019</t>
  </si>
  <si>
    <t>https://ebookcentral.proquest.com/lib/cam/detail.action?docID=5760530</t>
  </si>
  <si>
    <t>Russian Colonization of Alaska : Preconditions, Discovery, and Initial Development, 1741-1799</t>
  </si>
  <si>
    <t>979.8/0049171</t>
  </si>
  <si>
    <t>F907 .G756 2018</t>
  </si>
  <si>
    <t>https://ebookcentral.proquest.com/lib/cam/detail.action?docID=5518839</t>
  </si>
  <si>
    <t>Doing Time : Temporality, Hermeneutics, and Contemporary Cinema</t>
  </si>
  <si>
    <t>791.43/684</t>
  </si>
  <si>
    <t>PN1995.9.T55C38 2015</t>
  </si>
  <si>
    <t>https://ebookcentral.proquest.com/lib/cam/detail.action?docID=4557286</t>
  </si>
  <si>
    <t>Reading Green : Tactical Considerations for Reading the Bible Ecologically</t>
  </si>
  <si>
    <t>BS511.3.L367 2017</t>
  </si>
  <si>
    <t>https://ebookcentral.proquest.com/lib/cam/detail.action?docID=4939077</t>
  </si>
  <si>
    <t>Survival of the Fireflies</t>
  </si>
  <si>
    <t>PN58 .D535 2018</t>
  </si>
  <si>
    <t>https://ebookcentral.proquest.com/lib/cam/detail.action?docID=5494556</t>
  </si>
  <si>
    <t>Surrealist Ghostliness</t>
  </si>
  <si>
    <t>709.04/063</t>
  </si>
  <si>
    <t>NX456.5.S8 -- C66 2013eb</t>
  </si>
  <si>
    <t>https://ebookcentral.proquest.com/lib/cam/detail.action?docID=1180187</t>
  </si>
  <si>
    <t>Buddhism Beyond Borders : New Perspectives on Buddhism in the United States</t>
  </si>
  <si>
    <t>BQ736 -- .B83 2015eb</t>
  </si>
  <si>
    <t>https://ebookcentral.proquest.com/lib/cam/detail.action?docID=3440485</t>
  </si>
  <si>
    <t>The Stigma of Surrender : German Prisoners, British Captors, and Manhood in the Great War and Beyond</t>
  </si>
  <si>
    <t>940.4/724108931</t>
  </si>
  <si>
    <t>D627.G3.F458 2015eb</t>
  </si>
  <si>
    <t>https://ebookcentral.proquest.com/lib/cam/detail.action?docID=3039524</t>
  </si>
  <si>
    <t>Only a Joke Can Save Us : A Theory of Comedy</t>
  </si>
  <si>
    <t>BH301</t>
  </si>
  <si>
    <t>https://ebookcentral.proquest.com/lib/cam/detail.action?docID=4914475</t>
  </si>
  <si>
    <t>Archaeologies of Slavery and Freedom in the Caribbean : Exploring the Spaces in Between</t>
  </si>
  <si>
    <t>HT1071 .A73 2016</t>
  </si>
  <si>
    <t>https://ebookcentral.proquest.com/lib/cam/detail.action?docID=4715224</t>
  </si>
  <si>
    <t>Poisonous Pandas : Chinese Cigarette Manufacturing in Critical Historical Perspectives</t>
  </si>
  <si>
    <t>HD9149.C43 .P657 2018</t>
  </si>
  <si>
    <t>https://ebookcentral.proquest.com/lib/cam/detail.action?docID=5317449</t>
  </si>
  <si>
    <t>Police Encounters : Security and Surveillance in Gaza under Egyptian Rule</t>
  </si>
  <si>
    <t>363.2/3209531</t>
  </si>
  <si>
    <t>HV8242</t>
  </si>
  <si>
    <t>https://ebookcentral.proquest.com/lib/cam/detail.action?docID=3037587</t>
  </si>
  <si>
    <t>Dangerous Liaisons : Organized Crime and Political Finance in Latin America and Beyond</t>
  </si>
  <si>
    <t>HV6453.L29 -- D36 2013eb</t>
  </si>
  <si>
    <t>https://ebookcentral.proquest.com/lib/cam/detail.action?docID=1400644</t>
  </si>
  <si>
    <t>Atomistic Intuitions : An Essay on Classification</t>
  </si>
  <si>
    <t>146/.5</t>
  </si>
  <si>
    <t>BD646 .B313 2018</t>
  </si>
  <si>
    <t>https://ebookcentral.proquest.com/lib/cam/detail.action?docID=5504463</t>
  </si>
  <si>
    <t>The Symbolic Order of the Mother</t>
  </si>
  <si>
    <t>HQ759 .M873 2018</t>
  </si>
  <si>
    <t>https://ebookcentral.proquest.com/lib/cam/detail.action?docID=5210799</t>
  </si>
  <si>
    <t>Democratizing Global Politics : Discourse Norms, International Regimes, and Political Community</t>
  </si>
  <si>
    <t>327.1/01</t>
  </si>
  <si>
    <t>JZ1319 -- .P39 2004eb</t>
  </si>
  <si>
    <t>https://ebookcentral.proquest.com/lib/cam/detail.action?docID=3408610</t>
  </si>
  <si>
    <t>Fighting for the King and the Gods : A Survey of Warfare in the Ancient near East</t>
  </si>
  <si>
    <t>U31</t>
  </si>
  <si>
    <t>https://ebookcentral.proquest.com/lib/cam/detail.action?docID=5102782</t>
  </si>
  <si>
    <t>The Carpetbaggers of Kabul and Other American-Afghan Entanglements : Intimate Development, Geopolitics, and the Currency of Gender and Grief</t>
  </si>
  <si>
    <t>DS371.415.F55 2017</t>
  </si>
  <si>
    <t>https://ebookcentral.proquest.com/lib/cam/detail.action?docID=4823007</t>
  </si>
  <si>
    <t>The Ebola Pandemic in Sierra Leone : Representations, Actors, Interventions and the Path to Recovery</t>
  </si>
  <si>
    <t>Medicine; Political Science; Health</t>
  </si>
  <si>
    <t>https://ebookcentral.proquest.com/lib/cam/detail.action?docID=4813321</t>
  </si>
  <si>
    <t>The Virtues of Exit : On Resistance and Quitting Politics</t>
  </si>
  <si>
    <t>JC328.3.K575 2017</t>
  </si>
  <si>
    <t>https://ebookcentral.proquest.com/lib/cam/detail.action?docID=5105875</t>
  </si>
  <si>
    <t>Puer Tea : Ancient Caravans and Urban Chic</t>
  </si>
  <si>
    <t>CPB</t>
  </si>
  <si>
    <t>https://ebookcentral.proquest.com/lib/cam/detail.action?docID=3444557</t>
  </si>
  <si>
    <t>Social Housing in the Middle East : Architecture, Urban Development, and Transnational Modernity</t>
  </si>
  <si>
    <t>363.5/5610956</t>
  </si>
  <si>
    <t>HD7358.2.A3 .S635 2019</t>
  </si>
  <si>
    <t>https://ebookcentral.proquest.com/lib/cam/detail.action?docID=5723966</t>
  </si>
  <si>
    <t>Memory Ireland : Volume 2: Diaspora and Memory Practices</t>
  </si>
  <si>
    <t>DA926.M46 -- D53 2012eb</t>
  </si>
  <si>
    <t>https://ebookcentral.proquest.com/lib/cam/detail.action?docID=3410098</t>
  </si>
  <si>
    <t>Anna Howard Shaw : The Work of Woman Suffrage</t>
  </si>
  <si>
    <t>JK1899</t>
  </si>
  <si>
    <t>https://ebookcentral.proquest.com/lib/cam/detail.action?docID=3414330</t>
  </si>
  <si>
    <t>Strategies for Media Reform : International Perspectives</t>
  </si>
  <si>
    <t>P90 -- .S773 2016eb</t>
  </si>
  <si>
    <t>https://ebookcentral.proquest.com/lib/cam/detail.action?docID=4603822</t>
  </si>
  <si>
    <t>America's Teilhard</t>
  </si>
  <si>
    <t>https://ebookcentral.proquest.com/lib/cam/detail.action?docID=5742323</t>
  </si>
  <si>
    <t>Rhetoric in Tooth and Claw : Animals, Language, Sensation</t>
  </si>
  <si>
    <t>PA3265</t>
  </si>
  <si>
    <t>https://ebookcentral.proquest.com/lib/cam/detail.action?docID=4727860</t>
  </si>
  <si>
    <t>Gods, Objects, and Ritual Practice in Ancient Mediterranean Religion</t>
  </si>
  <si>
    <t>Lockwood Press</t>
  </si>
  <si>
    <t>DE61.R44 .G637 2017</t>
  </si>
  <si>
    <t>https://ebookcentral.proquest.com/lib/cam/detail.action?docID=5118018</t>
  </si>
  <si>
    <t>Antisemitism in Film Comedy in Nazi Germany</t>
  </si>
  <si>
    <t>PN1995.9.C55 .W456 2019</t>
  </si>
  <si>
    <t>https://ebookcentral.proquest.com/lib/cam/detail.action?docID=5723962</t>
  </si>
  <si>
    <t>Questioning Nature : British Women's Scientific Writing and Literary Originality, 1750-1830</t>
  </si>
  <si>
    <t>PR111.B355 2017eb</t>
  </si>
  <si>
    <t>https://ebookcentral.proquest.com/lib/cam/detail.action?docID=4817724</t>
  </si>
  <si>
    <t>Allegorical Bodies : Power and Gender in Late Medieval France</t>
  </si>
  <si>
    <t>PQ155.A44D45 2015</t>
  </si>
  <si>
    <t>https://ebookcentral.proquest.com/lib/cam/detail.action?docID=4672735</t>
  </si>
  <si>
    <t>New Perspectives on the Black Intellectual Tradition</t>
  </si>
  <si>
    <t>https://ebookcentral.proquest.com/lib/cam/detail.action?docID=5530590</t>
  </si>
  <si>
    <t>Portraying the Aztec Past : The Codices Boturini, Azcatitlan, and Aubin</t>
  </si>
  <si>
    <t>F1219.54.A98 .R353 2019</t>
  </si>
  <si>
    <t>https://ebookcentral.proquest.com/lib/cam/detail.action?docID=5613330</t>
  </si>
  <si>
    <t>Jazz As Critique : Adorno and Black Expression Revisited</t>
  </si>
  <si>
    <t>ML3508 .O355 2018</t>
  </si>
  <si>
    <t>https://ebookcentral.proquest.com/lib/cam/detail.action?docID=5407254</t>
  </si>
  <si>
    <t>African Museums in the Making : Reflections on the Politics of Material and Public Culture in Zimbabwe</t>
  </si>
  <si>
    <t>CC101.A35</t>
  </si>
  <si>
    <t>https://ebookcentral.proquest.com/lib/cam/detail.action?docID=2051158</t>
  </si>
  <si>
    <t>Cosmas of Prague : Narrative, Classicism, Politics</t>
  </si>
  <si>
    <t>943.71/021</t>
  </si>
  <si>
    <t>DB2081</t>
  </si>
  <si>
    <t>https://ebookcentral.proquest.com/lib/cam/detail.action?docID=3135187</t>
  </si>
  <si>
    <t>Early Cinema and the National</t>
  </si>
  <si>
    <t>791.436581 22</t>
  </si>
  <si>
    <t>PN1995.9.N33E27 2008</t>
  </si>
  <si>
    <t>https://ebookcentral.proquest.com/lib/cam/detail.action?docID=4505224</t>
  </si>
  <si>
    <t>Above the American Renaissance : David S. Reynolds and the Spiritual Imagination in American Literary Studies</t>
  </si>
  <si>
    <t>810.9/382</t>
  </si>
  <si>
    <t>PS166 .A268 2018</t>
  </si>
  <si>
    <t>https://ebookcentral.proquest.com/lib/cam/detail.action?docID=5447895</t>
  </si>
  <si>
    <t>Bombs without Boots : The Limits of Airpower</t>
  </si>
  <si>
    <t>UG630 .S356 2019</t>
  </si>
  <si>
    <t>https://ebookcentral.proquest.com/lib/cam/detail.action?docID=5179996</t>
  </si>
  <si>
    <t>American Afterlife : Encounters in the Customs of Mourning</t>
  </si>
  <si>
    <t>GT3203 -- .S944 2014eb</t>
  </si>
  <si>
    <t>https://ebookcentral.proquest.com/lib/cam/detail.action?docID=1630845</t>
  </si>
  <si>
    <t>Elites and Ilustrados in Philippine Culture</t>
  </si>
  <si>
    <t>DS664.H38 2017</t>
  </si>
  <si>
    <t>https://ebookcentral.proquest.com/lib/cam/detail.action?docID=4942003</t>
  </si>
  <si>
    <t>Ritual Innovation : Strategic Interventions in South Asian Religion</t>
  </si>
  <si>
    <t>BL1055 .R588 2018</t>
  </si>
  <si>
    <t>https://ebookcentral.proquest.com/lib/cam/detail.action?docID=5264815</t>
  </si>
  <si>
    <t>The Sound of Culture : Diaspora and Black Technopoetics</t>
  </si>
  <si>
    <t>809/.8896</t>
  </si>
  <si>
    <t>PN841.C47 2015</t>
  </si>
  <si>
    <t>https://ebookcentral.proquest.com/lib/cam/detail.action?docID=4082677</t>
  </si>
  <si>
    <t>Shakespeare's Big Men : Tragedy and the Problem of Resentment</t>
  </si>
  <si>
    <t>PR2992 M28.V35 2016eb</t>
  </si>
  <si>
    <t>https://ebookcentral.proquest.com/lib/cam/detail.action?docID=4669791</t>
  </si>
  <si>
    <t>A History of Jews in Germany Since 1945 : Politics, Culture, and Society</t>
  </si>
  <si>
    <t>DS134.26.B73513 2018</t>
  </si>
  <si>
    <t>https://ebookcentral.proquest.com/lib/cam/detail.action?docID=5240829</t>
  </si>
  <si>
    <t>Deinstitutionalisation and After : Post-War Psychiatry in the Western World</t>
  </si>
  <si>
    <t>Health; Social Science; History</t>
  </si>
  <si>
    <t>https://ebookcentral.proquest.com/lib/cam/detail.action?docID=4751368</t>
  </si>
  <si>
    <t>Chino : Anti-Chinese Racism in Mexico, 1880-1940</t>
  </si>
  <si>
    <t>https://ebookcentral.proquest.com/lib/cam/detail.action?docID=4843902</t>
  </si>
  <si>
    <t>Conservative Hurricane : How Jeb Bush Remade Florida</t>
  </si>
  <si>
    <t>975.9/063092</t>
  </si>
  <si>
    <t>F316.23.B87</t>
  </si>
  <si>
    <t>https://ebookcentral.proquest.com/lib/cam/detail.action?docID=1843617</t>
  </si>
  <si>
    <t>Emergency Writing : Irish Literature, Neutrality, and the Second World War</t>
  </si>
  <si>
    <t>PR8755</t>
  </si>
  <si>
    <t>https://ebookcentral.proquest.com/lib/cam/detail.action?docID=5348611</t>
  </si>
  <si>
    <t>In Sickness and in Wealth : Migration, Gendered Morality, and Central Java</t>
  </si>
  <si>
    <t>HD8708.5.A2 .C436 2018</t>
  </si>
  <si>
    <t>https://ebookcentral.proquest.com/lib/cam/detail.action?docID=5514481</t>
  </si>
  <si>
    <t>Storytelling and Education in the Digital Age : Experiences and Criticisms</t>
  </si>
  <si>
    <t>372.67/7</t>
  </si>
  <si>
    <t>LB1042.S767 2016</t>
  </si>
  <si>
    <t>https://ebookcentral.proquest.com/lib/cam/detail.action?docID=4740775</t>
  </si>
  <si>
    <t>Happiness, Hope, and Despair : Rethinking the Role of Education</t>
  </si>
  <si>
    <t>370.15/34</t>
  </si>
  <si>
    <t>LB1072.R64 2016</t>
  </si>
  <si>
    <t>https://ebookcentral.proquest.com/lib/cam/detail.action?docID=4188473</t>
  </si>
  <si>
    <t>Exemplary Figures / Fayan</t>
  </si>
  <si>
    <t>B128.Y313.F313 2013</t>
  </si>
  <si>
    <t>https://ebookcentral.proquest.com/lib/cam/detail.action?docID=3444543</t>
  </si>
  <si>
    <t>Down with Traitors : Justice and Nationalism in Wartime China</t>
  </si>
  <si>
    <t>KNN4417 .X538 2017</t>
  </si>
  <si>
    <t>https://ebookcentral.proquest.com/lib/cam/detail.action?docID=5548380</t>
  </si>
  <si>
    <t>Branding the American West : Paintings and Films, 1900-1950</t>
  </si>
  <si>
    <t>700/.45878</t>
  </si>
  <si>
    <t>ND212 -- .B736 2016eb</t>
  </si>
  <si>
    <t>https://ebookcentral.proquest.com/lib/cam/detail.action?docID=4424630</t>
  </si>
  <si>
    <t>American Abolitionism : Its Direct Political Impact from Colonial Times into Reconstruction</t>
  </si>
  <si>
    <t>E441 .H377 2019</t>
  </si>
  <si>
    <t>https://ebookcentral.proquest.com/lib/cam/detail.action?docID=5719657</t>
  </si>
  <si>
    <t>Cultural Melancholy : Readings of Race, Impossible Mourning, and African American Ritual</t>
  </si>
  <si>
    <t>https://ebookcentral.proquest.com/lib/cam/detail.action?docID=4306042</t>
  </si>
  <si>
    <t>Beyond Coloniality : Citizenship and Freedom in the Caribbean Intellectual Tradition</t>
  </si>
  <si>
    <t>F2169 .K368 2019</t>
  </si>
  <si>
    <t>https://ebookcentral.proquest.com/lib/cam/detail.action?docID=5702734</t>
  </si>
  <si>
    <t>The Proper Order of Things : Language, Power, and Law in Ottoman Administrative Discourses</t>
  </si>
  <si>
    <t>956/.015</t>
  </si>
  <si>
    <t>DR486 .F474 2018</t>
  </si>
  <si>
    <t>https://ebookcentral.proquest.com/lib/cam/detail.action?docID=5354316</t>
  </si>
  <si>
    <t>Reframing Italy : New Trends in Italian Women's Filmmaking</t>
  </si>
  <si>
    <t>PN1995.9.W6 -- .L73 2013eb</t>
  </si>
  <si>
    <t>https://ebookcentral.proquest.com/lib/cam/detail.action?docID=3120948</t>
  </si>
  <si>
    <t>Producing Early Modern London : A Comedy of Urban Space, 1598–1616</t>
  </si>
  <si>
    <t>822.309358421 23</t>
  </si>
  <si>
    <t>PR678.L58 .S734 2018</t>
  </si>
  <si>
    <t>https://ebookcentral.proquest.com/lib/cam/detail.action?docID=5143284</t>
  </si>
  <si>
    <t>Pakistan's Counterterrorism Challenge</t>
  </si>
  <si>
    <t>363.325/16095491</t>
  </si>
  <si>
    <t>HV6433.P18 -- .P36 2014eb</t>
  </si>
  <si>
    <t>https://ebookcentral.proquest.com/lib/cam/detail.action?docID=1643861</t>
  </si>
  <si>
    <t>Evaluation Foundations Revisited : Cultivating a Life of the Mind for Practice</t>
  </si>
  <si>
    <t>AZ191</t>
  </si>
  <si>
    <t>https://ebookcentral.proquest.com/lib/cam/detail.action?docID=2038803</t>
  </si>
  <si>
    <t>The Border and the Line : Race, Literature, and Los Angeles</t>
  </si>
  <si>
    <t>PS153.M56 .F736 2019</t>
  </si>
  <si>
    <t>https://ebookcentral.proquest.com/lib/cam/detail.action?docID=5602771</t>
  </si>
  <si>
    <t>Kafka and Noise : The Discovery of Cinematic Sound in Literary Modernism</t>
  </si>
  <si>
    <t>PT2621</t>
  </si>
  <si>
    <t>https://ebookcentral.proquest.com/lib/cam/detail.action?docID=5606299</t>
  </si>
  <si>
    <t>Beyond 1776 : Globalizing the Cultures of the American Revolution</t>
  </si>
  <si>
    <t>E209 .B496 2018</t>
  </si>
  <si>
    <t>https://ebookcentral.proquest.com/lib/cam/detail.action?docID=5559297</t>
  </si>
  <si>
    <t>Wrapped in the Flag of Israel : Mizrahi Single Mothers and Bureaucratic Torture, Revised Edition</t>
  </si>
  <si>
    <t>HQ759.915 .L38 2018</t>
  </si>
  <si>
    <t>https://ebookcentral.proquest.com/lib/cam/detail.action?docID=5393668</t>
  </si>
  <si>
    <t>Plato and the Body : Reconsidering Socratic Asceticism</t>
  </si>
  <si>
    <t>B398.A8 .Z655 2018</t>
  </si>
  <si>
    <t>https://ebookcentral.proquest.com/lib/cam/detail.action?docID=5473317</t>
  </si>
  <si>
    <t>Cuban Cultural Heritage : A Rebel Past for a Revolutionary Nation</t>
  </si>
  <si>
    <t>F1776 .G669 2018</t>
  </si>
  <si>
    <t>https://ebookcentral.proquest.com/lib/cam/detail.action?docID=5200628</t>
  </si>
  <si>
    <t>Social Memory, Silenced Voices, and Political Struggle : Remembering the Revolution in Zanzibar</t>
  </si>
  <si>
    <t>DT449.Z29 .S635 2018</t>
  </si>
  <si>
    <t>https://ebookcentral.proquest.com/lib/cam/detail.action?docID=5488721</t>
  </si>
  <si>
    <t>Justifying Revolution : Law, Virtue, and Violence in the American War of Independence</t>
  </si>
  <si>
    <t>E209 .J87 2018</t>
  </si>
  <si>
    <t>https://ebookcentral.proquest.com/lib/cam/detail.action?docID=5405492</t>
  </si>
  <si>
    <t>Palestinian Cinema in the Days of Revolution</t>
  </si>
  <si>
    <t>PN1993.5.P35 .Y378 2018</t>
  </si>
  <si>
    <t>https://ebookcentral.proquest.com/lib/cam/detail.action?docID=5347145</t>
  </si>
  <si>
    <t>The Importance of British Material Culture to Historical Archaeologies of the Nineteenth Century</t>
  </si>
  <si>
    <t>DA90.I52 2016</t>
  </si>
  <si>
    <t>https://ebookcentral.proquest.com/lib/cam/detail.action?docID=4095862</t>
  </si>
  <si>
    <t>Spanish Modernism and the Poetics of Youth : From Miguel de Unamuno to 'La Joven Literatura'</t>
  </si>
  <si>
    <t>PQ6639.N3.H375 2017</t>
  </si>
  <si>
    <t>https://ebookcentral.proquest.com/lib/cam/detail.action?docID=5110569</t>
  </si>
  <si>
    <t>The Nature of Revolution : Art and Politics under the Khmer Rouge</t>
  </si>
  <si>
    <t>HX521 .T964 2019</t>
  </si>
  <si>
    <t>https://ebookcentral.proquest.com/lib/cam/detail.action?docID=5628216</t>
  </si>
  <si>
    <t>The Reinvention of Populist Rhetoric in the Digital Age : Insiders and Outsiders in Democratic Politics</t>
  </si>
  <si>
    <t>https://ebookcentral.proquest.com/lib/cam/detail.action?docID=4747267</t>
  </si>
  <si>
    <t>Suez Deconstructed : An Interactive Study in Crisis, War, and Peacemaking</t>
  </si>
  <si>
    <t>DT107.83 .Z45 2018</t>
  </si>
  <si>
    <t>https://ebookcentral.proquest.com/lib/cam/detail.action?docID=5253421</t>
  </si>
  <si>
    <t>Outposts on the Frontier : A Fifty-Year History of Space Stations</t>
  </si>
  <si>
    <t>Engineering; Law; Engineering: General</t>
  </si>
  <si>
    <t>KF27.C453 2017</t>
  </si>
  <si>
    <t>https://ebookcentral.proquest.com/lib/cam/detail.action?docID=4880723</t>
  </si>
  <si>
    <t>The Final Mission : Preserving NASA's Apollo Sites</t>
  </si>
  <si>
    <t>Engineering; Engineering: General</t>
  </si>
  <si>
    <t>LCC TL4027 .W47 2017</t>
  </si>
  <si>
    <t>https://ebookcentral.proquest.com/lib/cam/detail.action?docID=4786346</t>
  </si>
  <si>
    <t>A Love of UIQ</t>
  </si>
  <si>
    <t>PN1997.3</t>
  </si>
  <si>
    <t>https://ebookcentral.proquest.com/lib/cam/detail.action?docID=4455273</t>
  </si>
  <si>
    <t>Media and the Rwanda Genocide, The</t>
  </si>
  <si>
    <t>International Development Research Centre</t>
  </si>
  <si>
    <t>DT450.435M43 2007eb</t>
  </si>
  <si>
    <t>https://ebookcentral.proquest.com/lib/cam/detail.action?docID=289467</t>
  </si>
  <si>
    <t>Beyond the Crossroads : The Devil and the Blues Tradition</t>
  </si>
  <si>
    <t>ML3521.G94 2017</t>
  </si>
  <si>
    <t>https://ebookcentral.proquest.com/lib/cam/detail.action?docID=5024616</t>
  </si>
  <si>
    <t>The Beginning of Western Philosophy : Interpretation of Anaximander and Parmenides</t>
  </si>
  <si>
    <t>182/.3</t>
  </si>
  <si>
    <t>B208.Z7.H453 2015eb</t>
  </si>
  <si>
    <t>https://ebookcentral.proquest.com/lib/cam/detail.action?docID=1913512</t>
  </si>
  <si>
    <t>Addressing America : George Washington's Farewell and the Making of National Culture, Politics, and Diplomacy, 1796-1852</t>
  </si>
  <si>
    <t>E312.952 -- .M353 2015eb</t>
  </si>
  <si>
    <t>https://ebookcentral.proquest.com/lib/cam/detail.action?docID=2077102</t>
  </si>
  <si>
    <t>In the Red and in the Black : Debt, Dishonor, and the Law in France between Revolutions</t>
  </si>
  <si>
    <t>HV8651.F8 .V387 2018</t>
  </si>
  <si>
    <t>https://ebookcentral.proquest.com/lib/cam/detail.action?docID=5516377</t>
  </si>
  <si>
    <t>History and Approaches to Heritage Studies</t>
  </si>
  <si>
    <t>CC135 .H578 2019</t>
  </si>
  <si>
    <t>https://ebookcentral.proquest.com/lib/cam/detail.action?docID=5651731</t>
  </si>
  <si>
    <t>Excavating the Afterlife : The Archaeology of Early Chinese Religion</t>
  </si>
  <si>
    <t>299.5/1</t>
  </si>
  <si>
    <t>https://ebookcentral.proquest.com/lib/cam/detail.action?docID=3444638</t>
  </si>
  <si>
    <t>Where Are You? : An Ontology of the Cell Phone</t>
  </si>
  <si>
    <t>HE9713 -- .F477 2014eb</t>
  </si>
  <si>
    <t>https://ebookcentral.proquest.com/lib/cam/detail.action?docID=3239920</t>
  </si>
  <si>
    <t>The Chronicle of Andres</t>
  </si>
  <si>
    <t>BX2435 .C476 2017</t>
  </si>
  <si>
    <t>https://ebookcentral.proquest.com/lib/cam/detail.action?docID=5214980</t>
  </si>
  <si>
    <t>Neoliberal Chicago</t>
  </si>
  <si>
    <t>320.9773/11</t>
  </si>
  <si>
    <t>F548</t>
  </si>
  <si>
    <t>https://ebookcentral.proquest.com/lib/cam/detail.action?docID=4923779</t>
  </si>
  <si>
    <t>Metamorphoses : The New, Annotated Edition</t>
  </si>
  <si>
    <t>PA6522.M2 .O953 2018</t>
  </si>
  <si>
    <t>https://ebookcentral.proquest.com/lib/cam/detail.action?docID=5358475</t>
  </si>
  <si>
    <t>Frontiers of Labor : Comparative Histories of the United States and Australia</t>
  </si>
  <si>
    <t>HD4851</t>
  </si>
  <si>
    <t>https://ebookcentral.proquest.com/lib/cam/detail.action?docID=5344286</t>
  </si>
  <si>
    <t>Solid State Insurrection : How the Science of Substance Made American Physics Matter</t>
  </si>
  <si>
    <t>530.4/1</t>
  </si>
  <si>
    <t>QC176</t>
  </si>
  <si>
    <t>https://ebookcentral.proquest.com/lib/cam/detail.action?docID=5512491</t>
  </si>
  <si>
    <t>A Reckoning : Philippine Trials of Japanese War Criminals</t>
  </si>
  <si>
    <t>364.1/3809599</t>
  </si>
  <si>
    <t>KZ1183</t>
  </si>
  <si>
    <t>https://ebookcentral.proquest.com/lib/cam/detail.action?docID=5703308</t>
  </si>
  <si>
    <t>Poland's Memory Wars : Essays on Illiberalism</t>
  </si>
  <si>
    <t>JN6766 .P653 2018</t>
  </si>
  <si>
    <t>https://ebookcentral.proquest.com/lib/cam/detail.action?docID=5674808</t>
  </si>
  <si>
    <t>The Fracking Debate : The Risks, Benefits, and Uncertainties of the Shale Revolution</t>
  </si>
  <si>
    <t>Engineering; Social Science; Engineering: Environmental</t>
  </si>
  <si>
    <t>TD195.G3 .R356 2018</t>
  </si>
  <si>
    <t>https://ebookcentral.proquest.com/lib/cam/detail.action?docID=5276122</t>
  </si>
  <si>
    <t>Rightlessness : Testimony and Redress in U. S. Prison Camps since World War II</t>
  </si>
  <si>
    <t>KF7225.P35 2016</t>
  </si>
  <si>
    <t>https://ebookcentral.proquest.com/lib/cam/detail.action?docID=4443597</t>
  </si>
  <si>
    <t>The Scandal of the Speaking Body : Don Juan with J. L. Austin, or Seduction in Two Languages</t>
  </si>
  <si>
    <t>Social Science; Language/Linguistics</t>
  </si>
  <si>
    <t>P95</t>
  </si>
  <si>
    <t>https://ebookcentral.proquest.com/lib/cam/detail.action?docID=3037456</t>
  </si>
  <si>
    <t>Twice-Divided Nation : National Memory, Transatlantic News, and American Literature in the Civil War Era</t>
  </si>
  <si>
    <t>973.7/1</t>
  </si>
  <si>
    <t>E609 .G733 2019</t>
  </si>
  <si>
    <t>https://ebookcentral.proquest.com/lib/cam/detail.action?docID=5649228</t>
  </si>
  <si>
    <t>Germany's Second Reich : Portraits and Pathways</t>
  </si>
  <si>
    <t>DD220 .R48</t>
  </si>
  <si>
    <t>https://ebookcentral.proquest.com/lib/cam/detail.action?docID=4669610</t>
  </si>
  <si>
    <t>Money Talks : Explaining How Money Really Works</t>
  </si>
  <si>
    <t>HG221.M664 2017eb</t>
  </si>
  <si>
    <t>https://ebookcentral.proquest.com/lib/cam/detail.action?docID=4845231</t>
  </si>
  <si>
    <t>Crafting a Republic for the World : Scientific, Geographic, and Historiographic Inventions of Colombia</t>
  </si>
  <si>
    <t>F2273 .D45 2018</t>
  </si>
  <si>
    <t>https://ebookcentral.proquest.com/lib/cam/detail.action?docID=5376548</t>
  </si>
  <si>
    <t>Art Worlds : Artists, Images, and Audiences in Late Nineteenth-Century Shanghai</t>
  </si>
  <si>
    <t>709.51/13209034</t>
  </si>
  <si>
    <t>NC998.6.C62 -- S539 2014eb</t>
  </si>
  <si>
    <t>https://ebookcentral.proquest.com/lib/cam/detail.action?docID=1863692</t>
  </si>
  <si>
    <t>Reproduction and Its Discontents in Mexico : Childbirth and Contraception from 1750 To 1905</t>
  </si>
  <si>
    <t>RG67.M6.J34 2016</t>
  </si>
  <si>
    <t>https://ebookcentral.proquest.com/lib/cam/detail.action?docID=4525816</t>
  </si>
  <si>
    <t>We Will Always Be Here : Native Peoples on Living and Thriving in the South</t>
  </si>
  <si>
    <t>975.004/97</t>
  </si>
  <si>
    <t>E78.S65 -- .W495 2016eb</t>
  </si>
  <si>
    <t>https://ebookcentral.proquest.com/lib/cam/detail.action?docID=4517547</t>
  </si>
  <si>
    <t>An other Kind of Home : Gender-Sexual Abjection, Subjectivity, and the Uncanny in Literature and Film</t>
  </si>
  <si>
    <t>PT134.I34 -- .F73 2015eb</t>
  </si>
  <si>
    <t>https://ebookcentral.proquest.com/lib/cam/detail.action?docID=1888824</t>
  </si>
  <si>
    <t>Of Love and Other Passions : Elites, Politics, and Family in Bogotá, Colombia, 1778-1870</t>
  </si>
  <si>
    <t>306.8109861/48</t>
  </si>
  <si>
    <t>HQ598.15.B64 -- D84 2015eb</t>
  </si>
  <si>
    <t>https://ebookcentral.proquest.com/lib/cam/detail.action?docID=1865288</t>
  </si>
  <si>
    <t>An Essay on Man</t>
  </si>
  <si>
    <t>821/.5</t>
  </si>
  <si>
    <t>PR3627.A2 -- .P674 2016eb</t>
  </si>
  <si>
    <t>https://ebookcentral.proquest.com/lib/cam/detail.action?docID=4558145</t>
  </si>
  <si>
    <t>The Head Beneath the Altar : Hindu Mythology and the Critique of Sacrifice</t>
  </si>
  <si>
    <t>294.5/34</t>
  </si>
  <si>
    <t>BL1216</t>
  </si>
  <si>
    <t>https://ebookcentral.proquest.com/lib/cam/detail.action?docID=3338341</t>
  </si>
  <si>
    <t>When These Things Begin : Conversations with Michel Treguer</t>
  </si>
  <si>
    <t>944.084092 B</t>
  </si>
  <si>
    <t>CT1018</t>
  </si>
  <si>
    <t>https://ebookcentral.proquest.com/lib/cam/detail.action?docID=3338347</t>
  </si>
  <si>
    <t>The Collected Letters of Robinson Jeffers, with Selected Letters of una Jeffers : Volume Two, 1931-1939</t>
  </si>
  <si>
    <t>811/.52</t>
  </si>
  <si>
    <t>PS3519</t>
  </si>
  <si>
    <t>https://ebookcentral.proquest.com/lib/cam/detail.action?docID=775181</t>
  </si>
  <si>
    <t>The Waterfront Journals</t>
  </si>
  <si>
    <t>History; Fiction</t>
  </si>
  <si>
    <t>https://ebookcentral.proquest.com/lib/cam/detail.action?docID=1806304</t>
  </si>
  <si>
    <t>The Geography of the Everyday : Toward an Understanding of the Given</t>
  </si>
  <si>
    <t>G70 .S855 2017</t>
  </si>
  <si>
    <t>https://ebookcentral.proquest.com/lib/cam/detail.action?docID=5173430</t>
  </si>
  <si>
    <t>Tales of Futures Past : Anticipation and the Ends of Literature in Contemporary China</t>
  </si>
  <si>
    <t>895.109/005</t>
  </si>
  <si>
    <t>PL2303</t>
  </si>
  <si>
    <t>https://ebookcentral.proquest.com/lib/cam/detail.action?docID=1731656</t>
  </si>
  <si>
    <t>Expressionism and Film</t>
  </si>
  <si>
    <t>791.43/0943</t>
  </si>
  <si>
    <t>PN1993.5.G3.K878 2016</t>
  </si>
  <si>
    <t>https://ebookcentral.proquest.com/lib/cam/detail.action?docID=4871968</t>
  </si>
  <si>
    <t>Democracy and the Nature of American Influence in Iran, 1941-1979</t>
  </si>
  <si>
    <t>E183.8.I55C65 2017</t>
  </si>
  <si>
    <t>https://ebookcentral.proquest.com/lib/cam/detail.action?docID=4850973</t>
  </si>
  <si>
    <t>Mediating Mobility : Visual Anthropology in the Age of Migration</t>
  </si>
  <si>
    <t>Fine Arts; Political Science</t>
  </si>
  <si>
    <t>JV6225.K46 2016eb</t>
  </si>
  <si>
    <t>https://ebookcentral.proquest.com/lib/cam/detail.action?docID=4454807</t>
  </si>
  <si>
    <t>The History of US-Japan Relations : From Perry to the Present</t>
  </si>
  <si>
    <t>https://ebookcentral.proquest.com/lib/cam/detail.action?docID=4825424</t>
  </si>
  <si>
    <t>Postrevolutionary Iran : A Political Handbook</t>
  </si>
  <si>
    <t>JQ1785 .B676 2018</t>
  </si>
  <si>
    <t>https://ebookcentral.proquest.com/lib/cam/detail.action?docID=5400191</t>
  </si>
  <si>
    <t>Making the New Middle East : Politics, Culture, and Human Rights</t>
  </si>
  <si>
    <t>DS63.123 .M355 2019</t>
  </si>
  <si>
    <t>https://ebookcentral.proquest.com/lib/cam/detail.action?docID=5703758</t>
  </si>
  <si>
    <t>Chromographia : American Literature and the Modernization of Color</t>
  </si>
  <si>
    <t>PS228.C585 .G375 2018</t>
  </si>
  <si>
    <t>https://ebookcentral.proquest.com/lib/cam/detail.action?docID=5626632</t>
  </si>
  <si>
    <t>Movement and Performance in Berlin School Cinema</t>
  </si>
  <si>
    <t>PN1993.5.G3 .L363 2018</t>
  </si>
  <si>
    <t>https://ebookcentral.proquest.com/lib/cam/detail.action?docID=5652174</t>
  </si>
  <si>
    <t>Political Power and Tribalism in Kenya</t>
  </si>
  <si>
    <t>https://ebookcentral.proquest.com/lib/cam/detail.action?docID=5087713</t>
  </si>
  <si>
    <t>American Jewish Political Culture and the Liberal Persuasion</t>
  </si>
  <si>
    <t>E184.354.F45 2013eb</t>
  </si>
  <si>
    <t>https://ebookcentral.proquest.com/lib/cam/detail.action?docID=3410154</t>
  </si>
  <si>
    <t>Transforming Monkey : Adaptation and Representation of a Chinese Epic</t>
  </si>
  <si>
    <t>https://ebookcentral.proquest.com/lib/cam/detail.action?docID=5548408</t>
  </si>
  <si>
    <t>The Spanish Craze : America's Fascination with the Hispanic World, 1779–1939</t>
  </si>
  <si>
    <t>E169.1 .K343 2019</t>
  </si>
  <si>
    <t>https://ebookcentral.proquest.com/lib/cam/detail.action?docID=5634036</t>
  </si>
  <si>
    <t>Frontiers of Science : Imperialism and Natural Knowledge in the Gulf South Borderlands, 1500-1850</t>
  </si>
  <si>
    <t>https://ebookcentral.proquest.com/lib/cam/detail.action?docID=5428233</t>
  </si>
  <si>
    <t>Stray Truths : Selected Poems of Euphrase Kezilahabi</t>
  </si>
  <si>
    <t>PL8704</t>
  </si>
  <si>
    <t>https://ebookcentral.proquest.com/lib/cam/detail.action?docID=4413804</t>
  </si>
  <si>
    <t>Before Truth : Lonergan, Aquinas, and the Problem of Wisdom</t>
  </si>
  <si>
    <t>https://ebookcentral.proquest.com/lib/cam/detail.action?docID=5567149</t>
  </si>
  <si>
    <t>Black Lives Matter and Music : Protest, Intervention, Reflection</t>
  </si>
  <si>
    <t>781.5/92</t>
  </si>
  <si>
    <t>ML3556 .B533 2018</t>
  </si>
  <si>
    <t>https://ebookcentral.proquest.com/lib/cam/detail.action?docID=5567147</t>
  </si>
  <si>
    <t>Colonialism and Modern Architecture in Germany</t>
  </si>
  <si>
    <t>NA2543</t>
  </si>
  <si>
    <t>https://ebookcentral.proquest.com/lib/cam/detail.action?docID=4895148</t>
  </si>
  <si>
    <t>Deification in the Latin Patristic Tradition</t>
  </si>
  <si>
    <t>BT767</t>
  </si>
  <si>
    <t>https://ebookcentral.proquest.com/lib/cam/detail.action?docID=5720785</t>
  </si>
  <si>
    <t>The First Zionist Congress : An Annotated Translation of the Proceedings</t>
  </si>
  <si>
    <t>DS149.F4955 2019</t>
  </si>
  <si>
    <t>https://ebookcentral.proquest.com/lib/cam/detail.action?docID=5721182</t>
  </si>
  <si>
    <t>Shakespeare’s Legal Ecologies : Law and Distributed Selfhood</t>
  </si>
  <si>
    <t>PR3028</t>
  </si>
  <si>
    <t>https://ebookcentral.proquest.com/lib/cam/detail.action?docID=4806662</t>
  </si>
  <si>
    <t>Russian Performances : Word, Object, Action</t>
  </si>
  <si>
    <t>PN2721</t>
  </si>
  <si>
    <t>https://ebookcentral.proquest.com/lib/cam/detail.action?docID=5573517</t>
  </si>
  <si>
    <t>Coming Together : Comparative Approaches to Population Aggregation and Early Urbanization</t>
  </si>
  <si>
    <t>GN380 .C665 2019</t>
  </si>
  <si>
    <t>https://ebookcentral.proquest.com/lib/cam/detail.action?docID=5721178</t>
  </si>
  <si>
    <t>Budapest Building Managers and the Holocaust in Hungary</t>
  </si>
  <si>
    <t>https://ebookcentral.proquest.com/lib/cam/detail.action?docID=4707223</t>
  </si>
  <si>
    <t>Hearing Voices : Aurality and New Spanish Sound Culture in Sor Juana Inés de la Cruz</t>
  </si>
  <si>
    <t>PQ7296.J6 .F565 2019</t>
  </si>
  <si>
    <t>https://ebookcentral.proquest.com/lib/cam/detail.action?docID=5627846</t>
  </si>
  <si>
    <t>The Feminist Fourth Wave : Affective Temporality</t>
  </si>
  <si>
    <t>https://ebookcentral.proquest.com/lib/cam/detail.action?docID=4860806</t>
  </si>
  <si>
    <t>Colored Television : American Religion Gone Global</t>
  </si>
  <si>
    <t>269/.2608996</t>
  </si>
  <si>
    <t>BV656</t>
  </si>
  <si>
    <t>https://ebookcentral.proquest.com/lib/cam/detail.action?docID=4414759</t>
  </si>
  <si>
    <t>Mapping the Country of Regions : The Chorographic Commission of Nineteenth-Century Colombia</t>
  </si>
  <si>
    <t>Science: Astronomy; Science; Geography/Travel</t>
  </si>
  <si>
    <t>GA693.7.A1 -- .A674 2016eb</t>
  </si>
  <si>
    <t>https://ebookcentral.proquest.com/lib/cam/detail.action?docID=4443626</t>
  </si>
  <si>
    <t>The Image in Early Cinema : Form and Material</t>
  </si>
  <si>
    <t>PN1995.25 .I434 2018</t>
  </si>
  <si>
    <t>https://ebookcentral.proquest.com/lib/cam/detail.action?docID=5357186</t>
  </si>
  <si>
    <t>The Jewish Revolution in Belorussia : Economy, Race, and Bolshevik Power</t>
  </si>
  <si>
    <t>DS135.B38.S59 2017</t>
  </si>
  <si>
    <t>https://ebookcentral.proquest.com/lib/cam/detail.action?docID=4787862</t>
  </si>
  <si>
    <t>The Ethics of Democracy : A Contemporary Reading of Hegel's Philosophy of Right</t>
  </si>
  <si>
    <t>JC233.H46C6813 2015</t>
  </si>
  <si>
    <t>https://ebookcentral.proquest.com/lib/cam/detail.action?docID=4396571</t>
  </si>
  <si>
    <t>Entangled Far Rights : A Russian-European Intellectual Romance in the Twentieth Century</t>
  </si>
  <si>
    <t>D34</t>
  </si>
  <si>
    <t>https://ebookcentral.proquest.com/lib/cam/detail.action?docID=5568318</t>
  </si>
  <si>
    <t>Found in Transition : Hong Kong Studies in the Age of China</t>
  </si>
  <si>
    <t>DS796.H75 .Z48 2018</t>
  </si>
  <si>
    <t>https://ebookcentral.proquest.com/lib/cam/detail.action?docID=5557519</t>
  </si>
  <si>
    <t>Medieval Religion and Its Anxieties : History and Mystery in the Other Middle Ages</t>
  </si>
  <si>
    <t>Literature; History</t>
  </si>
  <si>
    <t>https://ebookcentral.proquest.com/lib/cam/detail.action?docID=4722241</t>
  </si>
  <si>
    <t>Corruption in the Iberian Empires</t>
  </si>
  <si>
    <t>364.1/32309171246</t>
  </si>
  <si>
    <t>JN8386.C677 2017</t>
  </si>
  <si>
    <t>https://ebookcentral.proquest.com/lib/cam/detail.action?docID=4744159</t>
  </si>
  <si>
    <t>Archaeology of Identity and Dissonance : Contexts for a Brave New World</t>
  </si>
  <si>
    <t>CC72.4 .A7379</t>
  </si>
  <si>
    <t>https://ebookcentral.proquest.com/lib/cam/detail.action?docID=5645968</t>
  </si>
  <si>
    <t>Commanders and Command in the Roman Republic and Early Empire</t>
  </si>
  <si>
    <t>355.00937/09014</t>
  </si>
  <si>
    <t>DG231.3 -- .D76 2015eb</t>
  </si>
  <si>
    <t>https://ebookcentral.proquest.com/lib/cam/detail.action?docID=3039550</t>
  </si>
  <si>
    <t>Latin American Women Filmmakers</t>
  </si>
  <si>
    <t>PN1995.9.W6R515 2017</t>
  </si>
  <si>
    <t>https://ebookcentral.proquest.com/lib/cam/detail.action?docID=4744151</t>
  </si>
  <si>
    <t>War and the Art of Governance : Consolidating Combat Success into Political Victory</t>
  </si>
  <si>
    <t>U167.5.S68.S333 2017</t>
  </si>
  <si>
    <t>https://ebookcentral.proquest.com/lib/cam/detail.action?docID=4819988</t>
  </si>
  <si>
    <t>Reframing Holocaust Testimony</t>
  </si>
  <si>
    <t>940.53/18075</t>
  </si>
  <si>
    <t>D804.3.S557 2015</t>
  </si>
  <si>
    <t>https://ebookcentral.proquest.com/lib/cam/detail.action?docID=2089419</t>
  </si>
  <si>
    <t>Pan-Africanism or Pragmatism : Lessons of the Tanganyika-Zanzibar Union</t>
  </si>
  <si>
    <t>DT448.2 -- .S558 2008eb</t>
  </si>
  <si>
    <t>https://ebookcentral.proquest.com/lib/cam/detail.action?docID=1135279</t>
  </si>
  <si>
    <t>Disenchanted Realists, Second Edition : Political Science and the American Crisis</t>
  </si>
  <si>
    <t>JA84.U5S44 2015</t>
  </si>
  <si>
    <t>https://ebookcentral.proquest.com/lib/cam/detail.action?docID=3409023</t>
  </si>
  <si>
    <t>Reformation of the Senses : The Paradox of Religious Belief and Practice in Germany</t>
  </si>
  <si>
    <t>274.3/06</t>
  </si>
  <si>
    <t>BT741</t>
  </si>
  <si>
    <t>https://ebookcentral.proquest.com/lib/cam/detail.action?docID=5621961</t>
  </si>
  <si>
    <t>Mysterious Medicine : The Doctor-Scientist Tales of Hawthorne and Poe</t>
  </si>
  <si>
    <t>Medicine; Literature</t>
  </si>
  <si>
    <t>R149</t>
  </si>
  <si>
    <t>https://ebookcentral.proquest.com/lib/cam/detail.action?docID=4424658</t>
  </si>
  <si>
    <t>John Brown Still Lives! : America’s Long Reckoning with Violence, Equality, and Change</t>
  </si>
  <si>
    <t>E451.G45 2011</t>
  </si>
  <si>
    <t>https://ebookcentral.proquest.com/lib/cam/detail.action?docID=4321986</t>
  </si>
  <si>
    <t>Persuasion, Reflection, Judgment : Ancillae Vitae</t>
  </si>
  <si>
    <t>B829.5</t>
  </si>
  <si>
    <t>https://ebookcentral.proquest.com/lib/cam/detail.action?docID=4844352</t>
  </si>
  <si>
    <t>Drama in English from the Middle Ages to the Early Twentieth Century</t>
  </si>
  <si>
    <t>PN6111</t>
  </si>
  <si>
    <t>https://ebookcentral.proquest.com/lib/cam/detail.action?docID=4532717</t>
  </si>
  <si>
    <t>Anti-modernism : Radical revisions of Collective Identity</t>
  </si>
  <si>
    <t>HM753 -- .A585 2014eb</t>
  </si>
  <si>
    <t>https://ebookcentral.proquest.com/lib/cam/detail.action?docID=4443148</t>
  </si>
  <si>
    <t>Ukraine and Europe : Cultural Encounters and Negotiations</t>
  </si>
  <si>
    <t>DK508.4 .U373 2017</t>
  </si>
  <si>
    <t>https://ebookcentral.proquest.com/lib/cam/detail.action?docID=5171118</t>
  </si>
  <si>
    <t>The Written World : Space, Literature, and the Chorological Imagination in Early Modern France</t>
  </si>
  <si>
    <t>PQ245</t>
  </si>
  <si>
    <t>https://ebookcentral.proquest.com/lib/cam/detail.action?docID=5320930</t>
  </si>
  <si>
    <t>The Inconspicuous God : Heidegger, French Phenomenology, and the Theological Turn</t>
  </si>
  <si>
    <t>BL51 .A485 2018</t>
  </si>
  <si>
    <t>https://ebookcentral.proquest.com/lib/cam/detail.action?docID=5391748</t>
  </si>
  <si>
    <t>Race and Rurality in the Global Economy</t>
  </si>
  <si>
    <t>330.9173/4</t>
  </si>
  <si>
    <t>HN49.C6 .R334 2018</t>
  </si>
  <si>
    <t>https://ebookcentral.proquest.com/lib/cam/detail.action?docID=5527552</t>
  </si>
  <si>
    <t>Coming to Our Senses : Affect and an Order of Things for Global Culture</t>
  </si>
  <si>
    <t>BH301.P78.R434 2016eb</t>
  </si>
  <si>
    <t>https://ebookcentral.proquest.com/lib/cam/detail.action?docID=4206312</t>
  </si>
  <si>
    <t>Rousseau's Rejuvenation of Political Philosophy : A New Introduction</t>
  </si>
  <si>
    <t>https://ebookcentral.proquest.com/lib/cam/detail.action?docID=4691349</t>
  </si>
  <si>
    <t>Genre Theory and Historical Change : Theoretical Essays of Ralph Cohen</t>
  </si>
  <si>
    <t>PN511.G467 2017</t>
  </si>
  <si>
    <t>https://ebookcentral.proquest.com/lib/cam/detail.action?docID=5050341</t>
  </si>
  <si>
    <t>Deconstruction, Its Force, Its Violence : together with "Have We Done with the Empire of Judgment?"</t>
  </si>
  <si>
    <t>149/.97</t>
  </si>
  <si>
    <t>B2430.D484G358 2015</t>
  </si>
  <si>
    <t>https://ebookcentral.proquest.com/lib/cam/detail.action?docID=4396653</t>
  </si>
  <si>
    <t>Law and Legality in the Ottoman Empire and Republic of Turkey</t>
  </si>
  <si>
    <t>KKX120.L39 2016</t>
  </si>
  <si>
    <t>https://ebookcentral.proquest.com/lib/cam/detail.action?docID=4398296</t>
  </si>
  <si>
    <t>The World of a Tiny Insect : A Memoir of the Taiping Rebellion and Its Aftermath</t>
  </si>
  <si>
    <t>DS759.35.Z53613 201</t>
  </si>
  <si>
    <t>https://ebookcentral.proquest.com/lib/cam/detail.action?docID=3444566</t>
  </si>
  <si>
    <t>Transculturality and German Discourse in the Age of European Colonialism</t>
  </si>
  <si>
    <t>PT289</t>
  </si>
  <si>
    <t>https://ebookcentral.proquest.com/lib/cam/detail.action?docID=4843138</t>
  </si>
  <si>
    <t>Montaigne : A Life</t>
  </si>
  <si>
    <t>PQ1643.D473 2017</t>
  </si>
  <si>
    <t>https://ebookcentral.proquest.com/lib/cam/detail.action?docID=4786289</t>
  </si>
  <si>
    <t>Scripture and Its Readers : Readings of Israel's Story in Nehemiah 9, Ezekiel 20, and Acts 7</t>
  </si>
  <si>
    <t>BS511.3 -- .O55 2015eb</t>
  </si>
  <si>
    <t>https://ebookcentral.proquest.com/lib/cam/detail.action?docID=3155729</t>
  </si>
  <si>
    <t>The Implacable Urge to Defame : Cartoon Jews in the American Press, 1877-1935</t>
  </si>
  <si>
    <t>NC1763.J4</t>
  </si>
  <si>
    <t>https://ebookcentral.proquest.com/lib/cam/detail.action?docID=4850958</t>
  </si>
  <si>
    <t>The Collected Letters of Robinson Jeffers, with Selected Letters of una Jeffers : Volume Three, 1940-1962</t>
  </si>
  <si>
    <t>https://ebookcentral.proquest.com/lib/cam/detail.action?docID=3568954</t>
  </si>
  <si>
    <t>Contours of Change : Muslim Courts, Women, and Islamic Society in Colonial Bathurst, the Gambia, 1905-1965</t>
  </si>
  <si>
    <t>HQ1817</t>
  </si>
  <si>
    <t>https://ebookcentral.proquest.com/lib/cam/detail.action?docID=5108227</t>
  </si>
  <si>
    <t>Decolonisation of Materialities or Materialisation Of (Re-)Colonisation : Symbolisms, Languages, Ecocriticism and (Non)Representationalism in 21st Century Africa</t>
  </si>
  <si>
    <t>DT31 .D436 2018</t>
  </si>
  <si>
    <t>https://ebookcentral.proquest.com/lib/cam/detail.action?docID=5200679</t>
  </si>
  <si>
    <t>A Strife of Tongues : The Compromise of 1850 and the Ideological Foundations of the American Civil War</t>
  </si>
  <si>
    <t>E423 .M359 2018</t>
  </si>
  <si>
    <t>https://ebookcentral.proquest.com/lib/cam/detail.action?docID=5447711</t>
  </si>
  <si>
    <t>Relating to Rock Art in the Contemporary World : Navigating Symbolism, Meaning, and Significance</t>
  </si>
  <si>
    <t>University Press of Colorado</t>
  </si>
  <si>
    <t>759.01/13</t>
  </si>
  <si>
    <t>GN799</t>
  </si>
  <si>
    <t>https://ebookcentral.proquest.com/lib/cam/detail.action?docID=4740717</t>
  </si>
  <si>
    <t>Emancipation Without Equality : Pan-African Activism and the Global Color Line</t>
  </si>
  <si>
    <t>DT29 .S658 2018</t>
  </si>
  <si>
    <t>https://ebookcentral.proquest.com/lib/cam/detail.action?docID=5621986</t>
  </si>
  <si>
    <t>Feminists Who Changed America, 1963-1975</t>
  </si>
  <si>
    <t>305.42092/273 B</t>
  </si>
  <si>
    <t>HQ1412</t>
  </si>
  <si>
    <t>https://ebookcentral.proquest.com/lib/cam/detail.action?docID=3414458</t>
  </si>
  <si>
    <t>Dilemmas of a Trading Nation : Japan and the United States in the Evolving Asia-Pacific Order</t>
  </si>
  <si>
    <t>HF3826.5 .S655 2017</t>
  </si>
  <si>
    <t>https://ebookcentral.proquest.com/lib/cam/detail.action?docID=5179952</t>
  </si>
  <si>
    <t>The Social Life of Politics : Ethics, Kinship, and Union Activism in Argentina</t>
  </si>
  <si>
    <t>HD6603.5.L39 2017</t>
  </si>
  <si>
    <t>https://ebookcentral.proquest.com/lib/cam/detail.action?docID=4873374</t>
  </si>
  <si>
    <t>Amazons, Wives, Nuns, and Witches : Women and the Catholic Church in Colonial Brazil, 1500-1822</t>
  </si>
  <si>
    <t>282/.81082</t>
  </si>
  <si>
    <t>BX1466.3 -- M97 2013eb</t>
  </si>
  <si>
    <t>https://ebookcentral.proquest.com/lib/cam/detail.action?docID=3443693</t>
  </si>
  <si>
    <t>Manhood on the Line : Working-Class Masculinities in the American Heartland</t>
  </si>
  <si>
    <t>331.7/6292220973</t>
  </si>
  <si>
    <t>HD8039</t>
  </si>
  <si>
    <t>https://ebookcentral.proquest.com/lib/cam/detail.action?docID=4443538</t>
  </si>
  <si>
    <t>Undermining Intersectionality : The Perils of Powerblind Feminism</t>
  </si>
  <si>
    <t>HQ1155</t>
  </si>
  <si>
    <t>https://ebookcentral.proquest.com/lib/cam/detail.action?docID=5558390</t>
  </si>
  <si>
    <t>The Rise of the Diva on the Sixteenth-Century Commedia dell'Arte Stage</t>
  </si>
  <si>
    <t>PN2672.W65</t>
  </si>
  <si>
    <t>https://ebookcentral.proquest.com/lib/cam/detail.action?docID=4669800</t>
  </si>
  <si>
    <t>Connected Communities : Networks, Identity, and Social Change in the Ancient Cibola World</t>
  </si>
  <si>
    <t>E99</t>
  </si>
  <si>
    <t>https://ebookcentral.proquest.com/lib/cam/detail.action?docID=5145628</t>
  </si>
  <si>
    <t>Abel Gance and the End of Silent Cinema : Sounding Out Utopia</t>
  </si>
  <si>
    <t>https://ebookcentral.proquest.com/lib/cam/detail.action?docID=4741455</t>
  </si>
  <si>
    <t>Understanding Immigration : Issues and Challenges in an Era of Mass Population Movement</t>
  </si>
  <si>
    <t>JV6271 .H675 2017</t>
  </si>
  <si>
    <t>https://ebookcentral.proquest.com/lib/cam/detail.action?docID=5149154</t>
  </si>
  <si>
    <t>The Verb in the Amarna Letters from Canaan</t>
  </si>
  <si>
    <t>492/.156</t>
  </si>
  <si>
    <t>PJ3887.B373 2016</t>
  </si>
  <si>
    <t>https://ebookcentral.proquest.com/lib/cam/detail.action?docID=4772175</t>
  </si>
  <si>
    <t>Syntax of Volitives in Biblical Hebrew and Amarna Canaanite Prose</t>
  </si>
  <si>
    <t>PJ4564 -- .D35 2014eb</t>
  </si>
  <si>
    <t>https://ebookcentral.proquest.com/lib/cam/detail.action?docID=3155716</t>
  </si>
  <si>
    <t>Logodaedalus : Word Histories of Ingenuity in Early Modern Europe</t>
  </si>
  <si>
    <t>P327</t>
  </si>
  <si>
    <t>https://ebookcentral.proquest.com/lib/cam/detail.action?docID=5709853</t>
  </si>
  <si>
    <t>Memory Ireland : Volume 4: James Joyce and Cultural Memory</t>
  </si>
  <si>
    <t>PR6019.O9 -- .M466 2014eb</t>
  </si>
  <si>
    <t>https://ebookcentral.proquest.com/lib/cam/detail.action?docID=3410173</t>
  </si>
  <si>
    <t>Corruption : A Short History</t>
  </si>
  <si>
    <t>364.1/32309</t>
  </si>
  <si>
    <t>JF1081 .B7513 2017</t>
  </si>
  <si>
    <t>https://ebookcentral.proquest.com/lib/cam/detail.action?docID=4549484</t>
  </si>
  <si>
    <t>Modernity and Its Other : The Encounter with North American Indians in the Eighteenth Century</t>
  </si>
  <si>
    <t>E77 .S297 2017</t>
  </si>
  <si>
    <t>https://ebookcentral.proquest.com/lib/cam/detail.action?docID=5108483</t>
  </si>
  <si>
    <t>Jankyn's Book of Wikked Wyves : Seven Commentaries on Walter Map's "Dissuasio Valerii"</t>
  </si>
  <si>
    <t>PR1868.W7 -- .J365 2014eb</t>
  </si>
  <si>
    <t>https://ebookcentral.proquest.com/lib/cam/detail.action?docID=1630850</t>
  </si>
  <si>
    <t>Australia and the Vietnam War</t>
  </si>
  <si>
    <t>University of New South Wales Press</t>
  </si>
  <si>
    <t>959.704;959.7043394</t>
  </si>
  <si>
    <t>DS558.6 .A8</t>
  </si>
  <si>
    <t>https://ebookcentral.proquest.com/lib/cam/detail.action?docID=1681837</t>
  </si>
  <si>
    <t>Thus Spoke Laozi : A New Translation with Commentaries of Daodejing</t>
  </si>
  <si>
    <t>BL1900.L26.W834 2016</t>
  </si>
  <si>
    <t>https://ebookcentral.proquest.com/lib/cam/detail.action?docID=4983451</t>
  </si>
  <si>
    <t>Chinese Encounters in Southeast Asia : How People, Money, and Ideas from China Are Changing a Region</t>
  </si>
  <si>
    <t>DRE</t>
  </si>
  <si>
    <t>https://ebookcentral.proquest.com/lib/cam/detail.action?docID=4858190</t>
  </si>
  <si>
    <t>E-Mobility and Related Clean Technologies from an Empirical Corporate Finance Perspective : State of Economic Research, Sourcing Risks, and Capital Market Perception</t>
  </si>
  <si>
    <t>HD9502.5.C542 -- .B33 2015eb</t>
  </si>
  <si>
    <t>https://ebookcentral.proquest.com/lib/cam/detail.action?docID=3565039</t>
  </si>
  <si>
    <t>Exiles in Print : Little Magazines in Europe, 1921–1938</t>
  </si>
  <si>
    <t>Journalism; General Works/Reference</t>
  </si>
  <si>
    <t>PN4878.3A38 2015</t>
  </si>
  <si>
    <t>https://ebookcentral.proquest.com/lib/cam/detail.action?docID=4322752</t>
  </si>
  <si>
    <t>Inside Al-Shabaab : The Secret History of Al-Qaeda's Most Powerful Ally</t>
  </si>
  <si>
    <t>DT407.4 .M378 2018</t>
  </si>
  <si>
    <t>https://ebookcentral.proquest.com/lib/cam/detail.action?docID=5548430</t>
  </si>
  <si>
    <t>The South African Gandhi : Stretcher-Bearer of Empire</t>
  </si>
  <si>
    <t>968.04/9092 B</t>
  </si>
  <si>
    <t>DS481</t>
  </si>
  <si>
    <t>https://ebookcentral.proquest.com/lib/cam/detail.action?docID=4414769</t>
  </si>
  <si>
    <t>The Cult of the Modern : Trans-Mediterranean France and the Construction of French Modernity</t>
  </si>
  <si>
    <t>DC59.8.A4.M877 2017</t>
  </si>
  <si>
    <t>https://ebookcentral.proquest.com/lib/cam/detail.action?docID=4827165</t>
  </si>
  <si>
    <t>Translators Writing, Writing Translators</t>
  </si>
  <si>
    <t>P306.5.T723 2016</t>
  </si>
  <si>
    <t>https://ebookcentral.proquest.com/lib/cam/detail.action?docID=4332359</t>
  </si>
  <si>
    <t>Abolitionist Geographies</t>
  </si>
  <si>
    <t>326/.8097309034</t>
  </si>
  <si>
    <t>E449 -- .S293 2014eb</t>
  </si>
  <si>
    <t>https://ebookcentral.proquest.com/lib/cam/detail.action?docID=1833634</t>
  </si>
  <si>
    <t>Japanese Diplomacy : The Role of Leadership</t>
  </si>
  <si>
    <t>JQ1631 -- .E68 2015eb</t>
  </si>
  <si>
    <t>https://ebookcentral.proquest.com/lib/cam/detail.action?docID=3409001</t>
  </si>
  <si>
    <t>The Living and the Undead : Slaying Vampires, Exterminating Zombies</t>
  </si>
  <si>
    <t>https://ebookcentral.proquest.com/lib/cam/detail.action?docID=4556932</t>
  </si>
  <si>
    <t>Coca-Cola Socialism : Americanization of Yugoslav Culture in the Sixties</t>
  </si>
  <si>
    <t>https://ebookcentral.proquest.com/lib/cam/detail.action?docID=5489447</t>
  </si>
  <si>
    <t>Muslim Democratic Parties in the Middle East : Economy and Politics of Islamist Moderation</t>
  </si>
  <si>
    <t>JQ1758.A979.Y55 2017</t>
  </si>
  <si>
    <t>https://ebookcentral.proquest.com/lib/cam/detail.action?docID=4708926</t>
  </si>
  <si>
    <t>The Technique of Thought : Nancy, Laruelle, Malabou, and Stiegler after Naturalism</t>
  </si>
  <si>
    <t>B2421 .J364 2019</t>
  </si>
  <si>
    <t>https://ebookcentral.proquest.com/lib/cam/detail.action?docID=5683558</t>
  </si>
  <si>
    <t>Despite Cultures : Early Soviet Rule in Tajikistan</t>
  </si>
  <si>
    <t>958.608/42</t>
  </si>
  <si>
    <t>DK928</t>
  </si>
  <si>
    <t>https://ebookcentral.proquest.com/lib/cam/detail.action?docID=4731608</t>
  </si>
  <si>
    <t>Chinese Hegemony : Grand Strategy and International Institutions in East Asian History</t>
  </si>
  <si>
    <t>DS740</t>
  </si>
  <si>
    <t>https://ebookcentral.proquest.com/lib/cam/detail.action?docID=2045774</t>
  </si>
  <si>
    <t>Perspectives on the Ancient Maya of Chetumal Bay</t>
  </si>
  <si>
    <t>F1435.1.Q78.P477 2016</t>
  </si>
  <si>
    <t>https://ebookcentral.proquest.com/lib/cam/detail.action?docID=4683987</t>
  </si>
  <si>
    <t>Soviet Leaders and Intelligence : Assessing the American Adversary during the Cold War</t>
  </si>
  <si>
    <t>E183.8.S65 G385 2015</t>
  </si>
  <si>
    <t>https://ebookcentral.proquest.com/lib/cam/detail.action?docID=2192268</t>
  </si>
  <si>
    <t>Grounds of Engagement : Apartheid-Era African-American and South African Writing</t>
  </si>
  <si>
    <t>820.9/896068</t>
  </si>
  <si>
    <t>PR9358</t>
  </si>
  <si>
    <t>https://ebookcentral.proquest.com/lib/cam/detail.action?docID=4306031</t>
  </si>
  <si>
    <t>Power Interrupted : Antiracist and Feminist Activism Inside the United Nations</t>
  </si>
  <si>
    <t>Political Science; Law</t>
  </si>
  <si>
    <t>JC571</t>
  </si>
  <si>
    <t>https://ebookcentral.proquest.com/lib/cam/detail.action?docID=4635831</t>
  </si>
  <si>
    <t>Theorising Development in Africa : Towards Building an African Framework of Development</t>
  </si>
  <si>
    <t>HC800.M394 2017eb</t>
  </si>
  <si>
    <t>https://ebookcentral.proquest.com/lib/cam/detail.action?docID=4816137</t>
  </si>
  <si>
    <t>The Majestic Nature of the North : Thomas Kelah Wharton's Journeys in Antebellum America Through the Hudson River Valley and New England</t>
  </si>
  <si>
    <t>F127.H8 .M354 2019</t>
  </si>
  <si>
    <t>https://ebookcentral.proquest.com/lib/cam/detail.action?docID=5718936</t>
  </si>
  <si>
    <t>A Contemporary Geography of Uganda</t>
  </si>
  <si>
    <t>306.096;306/.096</t>
  </si>
  <si>
    <t>DT449.D3S85 2010</t>
  </si>
  <si>
    <t>https://ebookcentral.proquest.com/lib/cam/detail.action?docID=1135048</t>
  </si>
  <si>
    <t>Socialist Internationalism in the Cold War : Exploring the Second World</t>
  </si>
  <si>
    <t>https://ebookcentral.proquest.com/lib/cam/detail.action?docID=4768845</t>
  </si>
  <si>
    <t>Colonialism in Greenland : Tradition, Governance and Legacy</t>
  </si>
  <si>
    <t>https://ebookcentral.proquest.com/lib/cam/detail.action?docID=4941341</t>
  </si>
  <si>
    <t>The Enigma of Max Gluckman : The Ethnographic Life of a "Luckyman" in Africa</t>
  </si>
  <si>
    <t>GN21.G57 .G673 2018</t>
  </si>
  <si>
    <t>https://ebookcentral.proquest.com/lib/cam/detail.action?docID=5455183</t>
  </si>
  <si>
    <t>The Other Roots : Wandering Origins in Roots of Brazil and the Impasses of Modernity in Ibero-America</t>
  </si>
  <si>
    <t>F2510.M668 2014</t>
  </si>
  <si>
    <t>https://ebookcentral.proquest.com/lib/cam/detail.action?docID=4987510</t>
  </si>
  <si>
    <t>America's Vietnam : The Longue Durée of U. S. Literature and Empire</t>
  </si>
  <si>
    <t>810.9/358597</t>
  </si>
  <si>
    <t>https://ebookcentral.proquest.com/lib/cam/detail.action?docID=5424925</t>
  </si>
  <si>
    <t>Reconceiving Nature : Ecofeminism in Late Victorian Women's Poetry</t>
  </si>
  <si>
    <t>PR595</t>
  </si>
  <si>
    <t>https://ebookcentral.proquest.com/lib/cam/detail.action?docID=5632621</t>
  </si>
  <si>
    <t>Writing against War : Literature, Activism, and the British Peace Movement</t>
  </si>
  <si>
    <t>PR888</t>
  </si>
  <si>
    <t>https://ebookcentral.proquest.com/lib/cam/detail.action?docID=4837457</t>
  </si>
  <si>
    <t>A Sense of the Whole : Reading Gary Snyder's Mountains and Rivers Without End</t>
  </si>
  <si>
    <t>Counterpoint</t>
  </si>
  <si>
    <t>PS3569 .N88 M6237 2015</t>
  </si>
  <si>
    <t>https://ebookcentral.proquest.com/lib/cam/detail.action?docID=1885151</t>
  </si>
  <si>
    <t>The Long Shadows : A Global Environmental History of the Second World War</t>
  </si>
  <si>
    <t>940.53/1</t>
  </si>
  <si>
    <t>D744</t>
  </si>
  <si>
    <t>https://ebookcentral.proquest.com/lib/cam/detail.action?docID=4854566</t>
  </si>
  <si>
    <t>South Asian Diaspora Narratives : Roots and Routes</t>
  </si>
  <si>
    <t>https://ebookcentral.proquest.com/lib/cam/detail.action?docID=4855729</t>
  </si>
  <si>
    <t>Themes, Issues and Problems in African Philosophy</t>
  </si>
  <si>
    <t>https://ebookcentral.proquest.com/lib/cam/detail.action?docID=4800164</t>
  </si>
  <si>
    <t>Dystopia's Provocateurs : Peasants, State, and Informality in the Polish-German Borderlands</t>
  </si>
  <si>
    <t>HN537.5 .M384 2017</t>
  </si>
  <si>
    <t>https://ebookcentral.proquest.com/lib/cam/detail.action?docID=5455675</t>
  </si>
  <si>
    <t>Heritage Keywords : Rhetoric and Redescription in Cultural Heritage</t>
  </si>
  <si>
    <t>363.6/907</t>
  </si>
  <si>
    <t>CC135</t>
  </si>
  <si>
    <t>https://ebookcentral.proquest.com/lib/cam/detail.action?docID=3571570</t>
  </si>
  <si>
    <t>Practiced Citizenship : Women, Gender, and the State in Modern France</t>
  </si>
  <si>
    <t>History; Social Science; Political Science</t>
  </si>
  <si>
    <t>https://ebookcentral.proquest.com/lib/cam/detail.action?docID=5606852</t>
  </si>
  <si>
    <t>Performing Whitely in the Postcolony : Afrikaners in South African Theatrical and Public Life</t>
  </si>
  <si>
    <t>PN2984</t>
  </si>
  <si>
    <t>https://ebookcentral.proquest.com/lib/cam/detail.action?docID=4722540</t>
  </si>
  <si>
    <t>The China Order : Centralia, World Empire, and the Nature of Chinese Power</t>
  </si>
  <si>
    <t>JZ1734.W364 2017</t>
  </si>
  <si>
    <t>https://ebookcentral.proquest.com/lib/cam/detail.action?docID=4983614</t>
  </si>
  <si>
    <t>The Other Exchange : Women, Servants, and the Urban Underclass in Early Modern English Literature</t>
  </si>
  <si>
    <t>PR428.S65.V36 2017</t>
  </si>
  <si>
    <t>https://ebookcentral.proquest.com/lib/cam/detail.action?docID=4784143</t>
  </si>
  <si>
    <t>Empires Between Islam and Christianity, 1500-1800</t>
  </si>
  <si>
    <t>D22 .S837 2019</t>
  </si>
  <si>
    <t>https://ebookcentral.proquest.com/lib/cam/detail.action?docID=5627251</t>
  </si>
  <si>
    <t>The Polyphonic Machine : Capitalism, Political Violence, and Resistance in Contemporary Argentine Literature</t>
  </si>
  <si>
    <t>863/.64093581</t>
  </si>
  <si>
    <t>PQ7703</t>
  </si>
  <si>
    <t>https://ebookcentral.proquest.com/lib/cam/detail.action?docID=5652122</t>
  </si>
  <si>
    <t>What Democracy Looks Like : The Rhetoric of Social Movements and Counterpublics</t>
  </si>
  <si>
    <t>HM881</t>
  </si>
  <si>
    <t>https://ebookcentral.proquest.com/lib/cam/detail.action?docID=4843950</t>
  </si>
  <si>
    <t>Jade Mountains and Cinnabar Pools : The History of Travel Literature in Imperial China</t>
  </si>
  <si>
    <t>https://ebookcentral.proquest.com/lib/cam/detail.action?docID=5667610</t>
  </si>
  <si>
    <t>Fatih Akin's Cinema and the New Sound of Europe</t>
  </si>
  <si>
    <t>PN1995.9.W6 G84 2019</t>
  </si>
  <si>
    <t>https://ebookcentral.proquest.com/lib/cam/detail.action?docID=5652168</t>
  </si>
  <si>
    <t>Constructing European Union Trade Policy : A Global Idea of Europe</t>
  </si>
  <si>
    <t>https://ebookcentral.proquest.com/lib/cam/detail.action?docID=1645511</t>
  </si>
  <si>
    <t>Roll over, Tchaikovsky! : Russian Popular Music and Post-Soviet Homosexuality</t>
  </si>
  <si>
    <t>ML3917</t>
  </si>
  <si>
    <t>https://ebookcentral.proquest.com/lib/cam/detail.action?docID=3414346</t>
  </si>
  <si>
    <t>Desert Borderland : The Making of Modern Egypt and Libya</t>
  </si>
  <si>
    <t>DT82.5.L8 .E455 2018</t>
  </si>
  <si>
    <t>https://ebookcentral.proquest.com/lib/cam/detail.action?docID=5317436</t>
  </si>
  <si>
    <t>Abraham : The Story of a Life</t>
  </si>
  <si>
    <t>222/.11092 B</t>
  </si>
  <si>
    <t>BS580.A3.B546 2015</t>
  </si>
  <si>
    <t>https://ebookcentral.proquest.com/lib/cam/detail.action?docID=4859128</t>
  </si>
  <si>
    <t>Cultural Nationalism and Ethnic Music in Latin America</t>
  </si>
  <si>
    <t>ML3917.L27 .C858 2018</t>
  </si>
  <si>
    <t>https://ebookcentral.proquest.com/lib/cam/detail.action?docID=5482801</t>
  </si>
  <si>
    <t>Paris Dreams, Paris Memories : The City and Its Mystique</t>
  </si>
  <si>
    <t>944/.36108</t>
  </si>
  <si>
    <t>DC723</t>
  </si>
  <si>
    <t>https://ebookcentral.proquest.com/lib/cam/detail.action?docID=842220</t>
  </si>
  <si>
    <t>Electric Santería : Racial and Sexual Assemblages of Transnational Religion</t>
  </si>
  <si>
    <t>BL2532.S3 .B384 2015</t>
  </si>
  <si>
    <t>https://ebookcentral.proquest.com/lib/cam/detail.action?docID=2147399</t>
  </si>
  <si>
    <t>Picturing Identity : Contemporary American Autobiography in Image and Text</t>
  </si>
  <si>
    <t>810.9/35</t>
  </si>
  <si>
    <t>PS169.A95 .W66 2018</t>
  </si>
  <si>
    <t>https://ebookcentral.proquest.com/lib/cam/detail.action?docID=5377972</t>
  </si>
  <si>
    <t>Franco : A Personal and Political Biography</t>
  </si>
  <si>
    <t>946.082092 B</t>
  </si>
  <si>
    <t>DP264</t>
  </si>
  <si>
    <t>https://ebookcentral.proquest.com/lib/cam/detail.action?docID=3445426</t>
  </si>
  <si>
    <t>Dissolving Tensions : Rapprochement and Resolution in British-American-Canadian Relations in the Treaty of Washington Era, 1865–1914</t>
  </si>
  <si>
    <t>E183.8.G7 -- .M95 2015eb</t>
  </si>
  <si>
    <t>https://ebookcentral.proquest.com/lib/cam/detail.action?docID=3425834</t>
  </si>
  <si>
    <t>Intimacy, Performance, and the Lied in the Early Nineteenth Century</t>
  </si>
  <si>
    <t>ML2829 .R669 2018</t>
  </si>
  <si>
    <t>https://ebookcentral.proquest.com/lib/cam/detail.action?docID=5526206</t>
  </si>
  <si>
    <t>The Nocturnal Side of Science in David Friedrich Strauss's Life of Jesus Critically Examined</t>
  </si>
  <si>
    <t>BT301</t>
  </si>
  <si>
    <t>https://ebookcentral.proquest.com/lib/cam/detail.action?docID=3425750</t>
  </si>
  <si>
    <t>Ending and Unending Agony : On Maurice Blanchot</t>
  </si>
  <si>
    <t>PQ2635.O117 -- .L336 2015eb</t>
  </si>
  <si>
    <t>https://ebookcentral.proquest.com/lib/cam/detail.action?docID=3430740</t>
  </si>
  <si>
    <t>Peregrinations : Walking in American Literature</t>
  </si>
  <si>
    <t>810.9/35873</t>
  </si>
  <si>
    <t>https://ebookcentral.proquest.com/lib/cam/detail.action?docID=5393719</t>
  </si>
  <si>
    <t>The Lesbian South : Southern Feminists, the Women in Print Movement, and the Queer Literary Canon</t>
  </si>
  <si>
    <t>PS153.L46 .H375 2018</t>
  </si>
  <si>
    <t>https://ebookcentral.proquest.com/lib/cam/detail.action?docID=5525653</t>
  </si>
  <si>
    <t>Reading Contagion : The Hazards of Reading in the Age of Print</t>
  </si>
  <si>
    <t>PR858.T3 .M366 2018</t>
  </si>
  <si>
    <t>https://ebookcentral.proquest.com/lib/cam/detail.action?docID=5558418</t>
  </si>
  <si>
    <t>Gestures of Love : Romancing Performance in Classical Hollywood Cinema</t>
  </si>
  <si>
    <t>PN1995.9.L6R93 2017</t>
  </si>
  <si>
    <t>https://ebookcentral.proquest.com/lib/cam/detail.action?docID=4865685</t>
  </si>
  <si>
    <t>Elements of a Philosophy of Technology : On the Evolutionary History of Culture</t>
  </si>
  <si>
    <t>T14 .K377 2018</t>
  </si>
  <si>
    <t>https://ebookcentral.proquest.com/lib/cam/detail.action?docID=5574884</t>
  </si>
  <si>
    <t>The Woman Who Turned into a Jaguar, and Other Narratives of Native Women in Archives of Colonial Mexico</t>
  </si>
  <si>
    <t>305.48/897072</t>
  </si>
  <si>
    <t>F1219</t>
  </si>
  <si>
    <t>https://ebookcentral.proquest.com/lib/cam/detail.action?docID=4749836</t>
  </si>
  <si>
    <t>Six Turkish Filmmakers</t>
  </si>
  <si>
    <t>PN1993</t>
  </si>
  <si>
    <t>https://ebookcentral.proquest.com/lib/cam/detail.action?docID=5144391</t>
  </si>
  <si>
    <t>The Powers of Sensibility : Aesthetic Politics through Adorno, Foucault, and Rancière</t>
  </si>
  <si>
    <t>https://ebookcentral.proquest.com/lib/cam/detail.action?docID=5408919</t>
  </si>
  <si>
    <t>Mary Shelley and the Rights of the Child : Political Philosophy in Frankenstein</t>
  </si>
  <si>
    <t>PR5397.F73 .B688 2018</t>
  </si>
  <si>
    <t>https://ebookcentral.proquest.com/lib/cam/detail.action?docID=5217781</t>
  </si>
  <si>
    <t>Promiscuous Power : An Unorthodox History of New Spain</t>
  </si>
  <si>
    <t>972/.02</t>
  </si>
  <si>
    <t>F1229 .N478 2018</t>
  </si>
  <si>
    <t>https://ebookcentral.proquest.com/lib/cam/detail.action?docID=5398046</t>
  </si>
  <si>
    <t>Harvester of Hearts : Motherhood under the Sign of Frankenstein</t>
  </si>
  <si>
    <t>PR5398</t>
  </si>
  <si>
    <t>https://ebookcentral.proquest.com/lib/cam/detail.action?docID=5449463</t>
  </si>
  <si>
    <t>Mafia Raj : The Rule of Bosses in South Asia</t>
  </si>
  <si>
    <t>HV6453.S64 .M534 2019</t>
  </si>
  <si>
    <t>https://ebookcentral.proquest.com/lib/cam/detail.action?docID=5568231</t>
  </si>
  <si>
    <t>Retrofitting Sprawl : Addressing Seventy Years of Failed Urban Form</t>
  </si>
  <si>
    <t>307.3/4160973</t>
  </si>
  <si>
    <t>HT175 .R473 2015</t>
  </si>
  <si>
    <t>https://ebookcentral.proquest.com/lib/cam/detail.action?docID=2149486</t>
  </si>
  <si>
    <t>Imagination and Postmodernity</t>
  </si>
  <si>
    <t>B105.I49 -- B68 2013eb</t>
  </si>
  <si>
    <t>https://ebookcentral.proquest.com/lib/cam/detail.action?docID=1486329</t>
  </si>
  <si>
    <t>Subjectivity in ʿAttār, Persian Sufism, and European Mysticism</t>
  </si>
  <si>
    <t>PK6451.F4Z98 2017</t>
  </si>
  <si>
    <t>https://ebookcentral.proquest.com/lib/cam/detail.action?docID=4863018</t>
  </si>
  <si>
    <t>Mythologies of Transhumanism</t>
  </si>
  <si>
    <t>https://ebookcentral.proquest.com/lib/cam/detail.action?docID=4740958</t>
  </si>
  <si>
    <t>Gender and Chinese History : Transformative Encounters</t>
  </si>
  <si>
    <t>HQ1767 -- .G457 2015eb</t>
  </si>
  <si>
    <t>https://ebookcentral.proquest.com/lib/cam/detail.action?docID=3444644</t>
  </si>
  <si>
    <t>Power to the Poor : Black-Brown Coalition and the Fight for Economic Justice, 1960-1974</t>
  </si>
  <si>
    <t>E185.8 -- .M19 2013eb</t>
  </si>
  <si>
    <t>https://ebookcentral.proquest.com/lib/cam/detail.action?docID=1120505</t>
  </si>
  <si>
    <t>Oscillations of Literary Theory : The Paranoid Imperative and Queer Reparative</t>
  </si>
  <si>
    <t>PN56.P92.F35 2016</t>
  </si>
  <si>
    <t>https://ebookcentral.proquest.com/lib/cam/detail.action?docID=4710107</t>
  </si>
  <si>
    <t>Robinson's Crossing</t>
  </si>
  <si>
    <t>Brick Books</t>
  </si>
  <si>
    <t>PR9251 .Z853 2004</t>
  </si>
  <si>
    <t>https://ebookcentral.proquest.com/lib/cam/detail.action?docID=5193741</t>
  </si>
  <si>
    <t>Governing under Stress : The Implementation of Obama's Economic Stimulus Program</t>
  </si>
  <si>
    <t>HC106.84.G684 2017</t>
  </si>
  <si>
    <t>https://ebookcentral.proquest.com/lib/cam/detail.action?docID=4773091</t>
  </si>
  <si>
    <t>Tragedy and the Return of the Dead</t>
  </si>
  <si>
    <t>PQ561</t>
  </si>
  <si>
    <t>https://ebookcentral.proquest.com/lib/cam/detail.action?docID=5325298</t>
  </si>
  <si>
    <t>Lana and Lilly Wachowski</t>
  </si>
  <si>
    <t>791.4302/33092273</t>
  </si>
  <si>
    <t>https://ebookcentral.proquest.com/lib/cam/detail.action?docID=5589484</t>
  </si>
  <si>
    <t>Judeans and Jews : Four Faces of Dichotomy in Ancient Jewish History</t>
  </si>
  <si>
    <t>https://ebookcentral.proquest.com/lib/cam/detail.action?docID=4669890</t>
  </si>
  <si>
    <t>Community without Consent : New Perspectives on the Stamp Act</t>
  </si>
  <si>
    <t>Dartmouth College Press</t>
  </si>
  <si>
    <t>973.2/7</t>
  </si>
  <si>
    <t>E215</t>
  </si>
  <si>
    <t>https://ebookcentral.proquest.com/lib/cam/detail.action?docID=4353461</t>
  </si>
  <si>
    <t>Mothers, Comrades, and Outcasts in East German Women's Film</t>
  </si>
  <si>
    <t>PN1995.9.W6.C74 2016eb</t>
  </si>
  <si>
    <t>https://ebookcentral.proquest.com/lib/cam/detail.action?docID=4614757</t>
  </si>
  <si>
    <t>Bad Film Histories : Ethnography and the Early Archive</t>
  </si>
  <si>
    <t>G347 .G766 2019</t>
  </si>
  <si>
    <t>https://ebookcentral.proquest.com/lib/cam/detail.action?docID=5690800</t>
  </si>
  <si>
    <t>Queer Embodiment : Monstrosity, Medical Violence, and Intersex Experience</t>
  </si>
  <si>
    <t>HQ78 .M353 2019</t>
  </si>
  <si>
    <t>https://ebookcentral.proquest.com/lib/cam/detail.action?docID=5703156</t>
  </si>
  <si>
    <t>Smell and History : A Reader</t>
  </si>
  <si>
    <t>Science; Science: Anatomy/Physiology; Social Science</t>
  </si>
  <si>
    <t>GT2847</t>
  </si>
  <si>
    <t>https://ebookcentral.proquest.com/lib/cam/detail.action?docID=5626673</t>
  </si>
  <si>
    <t>Joyce and the Law</t>
  </si>
  <si>
    <t>PR6019.O9.J693 2017</t>
  </si>
  <si>
    <t>https://ebookcentral.proquest.com/lib/cam/detail.action?docID=5109075</t>
  </si>
  <si>
    <t>Gender and Migration : A Gender-Sensitive Approach to Migration Dynamics</t>
  </si>
  <si>
    <t>https://ebookcentral.proquest.com/lib/cam/detail.action?docID=5608867</t>
  </si>
  <si>
    <t>Anthropocene Poetics : Deep Time, Sacrifice Zones, and Extinction</t>
  </si>
  <si>
    <t>PN1065 .F377 2019</t>
  </si>
  <si>
    <t>https://ebookcentral.proquest.com/lib/cam/detail.action?docID=5690798</t>
  </si>
  <si>
    <t>From Scratch : Writings in Music Theory</t>
  </si>
  <si>
    <t>MT6</t>
  </si>
  <si>
    <t>https://ebookcentral.proquest.com/lib/cam/detail.action?docID=4306025</t>
  </si>
  <si>
    <t>Singing Yoruba Christianity : Music, Media, and Morality</t>
  </si>
  <si>
    <t>ML3151.N547 .B746 2018</t>
  </si>
  <si>
    <t>https://ebookcentral.proquest.com/lib/cam/detail.action?docID=5217068</t>
  </si>
  <si>
    <t>A Queer Way Out : The Politics of Queer Emigration from Israel</t>
  </si>
  <si>
    <t>304.8086/64095694</t>
  </si>
  <si>
    <t>JV8749 .A55 2018</t>
  </si>
  <si>
    <t>https://ebookcentral.proquest.com/lib/cam/detail.action?docID=5399975</t>
  </si>
  <si>
    <t>Mano Dura : The Politics of Gang Control in el Salvador</t>
  </si>
  <si>
    <t>HV6439.S2W65 2017</t>
  </si>
  <si>
    <t>https://ebookcentral.proquest.com/lib/cam/detail.action?docID=4785159</t>
  </si>
  <si>
    <t>Militant Acts : The Role of Investigations in Radical Political Struggles</t>
  </si>
  <si>
    <t>HN49.R33H64 2019</t>
  </si>
  <si>
    <t>https://ebookcentral.proquest.com/lib/cam/detail.action?docID=5627256</t>
  </si>
  <si>
    <t>Beethoven's Symphonies : Nine Approaches to Art and Ideas</t>
  </si>
  <si>
    <t>784.2/184092</t>
  </si>
  <si>
    <t>https://ebookcentral.proquest.com/lib/cam/detail.action?docID=4832133</t>
  </si>
  <si>
    <t>The (Medieval Texts in Translation) Complete Works of Liudprand of Cremona</t>
  </si>
  <si>
    <t>D117</t>
  </si>
  <si>
    <t>https://ebookcentral.proquest.com/lib/cam/detail.action?docID=4519583</t>
  </si>
  <si>
    <t>Islanders in the Empire : Filipino and Puerto Rican Laborers in Hawai'i</t>
  </si>
  <si>
    <t>Agriculture; Business/Management; Economics</t>
  </si>
  <si>
    <t>HD1527</t>
  </si>
  <si>
    <t>https://ebookcentral.proquest.com/lib/cam/detail.action?docID=3414355</t>
  </si>
  <si>
    <t>The Invention of the Oral : Print Commerce and Fugitive Voices in Eighteenth-Century Britain</t>
  </si>
  <si>
    <t>825/.509</t>
  </si>
  <si>
    <t>PR905</t>
  </si>
  <si>
    <t>https://ebookcentral.proquest.com/lib/cam/detail.action?docID=4865236</t>
  </si>
  <si>
    <t>Everyday Religion : An Archaeology of Protestant Belief and Practice in the Nineteenth Century</t>
  </si>
  <si>
    <t>BR525 .K78 2015</t>
  </si>
  <si>
    <t>https://ebookcentral.proquest.com/lib/cam/detail.action?docID=2068946</t>
  </si>
  <si>
    <t>Green Japan : Environmental Technologies, Innovation Policy, and the Pursuit of Green Growth</t>
  </si>
  <si>
    <t>HC465.E5 .H657 2018</t>
  </si>
  <si>
    <t>https://ebookcentral.proquest.com/lib/cam/detail.action?docID=5229038</t>
  </si>
  <si>
    <t>An Introduction to Personalism</t>
  </si>
  <si>
    <t>B828</t>
  </si>
  <si>
    <t>https://ebookcentral.proquest.com/lib/cam/detail.action?docID=5241224</t>
  </si>
  <si>
    <t>Love, Order, and Progress : The Science, Philosophy, and Politics of Auguste Comte</t>
  </si>
  <si>
    <t>301.092 B</t>
  </si>
  <si>
    <t>B2248</t>
  </si>
  <si>
    <t>https://ebookcentral.proquest.com/lib/cam/detail.action?docID=5399341</t>
  </si>
  <si>
    <t>Carved from Granite : West Point since 1902</t>
  </si>
  <si>
    <t>355.0071/173</t>
  </si>
  <si>
    <t>U410.L1 -- B48 2012eb</t>
  </si>
  <si>
    <t>https://ebookcentral.proquest.com/lib/cam/detail.action?docID=1100941</t>
  </si>
  <si>
    <t>How the Wise Men Got to Chelm : The Life and Times of a Yiddish Folk Tradition</t>
  </si>
  <si>
    <t>GR98.B47 2016</t>
  </si>
  <si>
    <t>https://ebookcentral.proquest.com/lib/cam/detail.action?docID=4500663</t>
  </si>
  <si>
    <t>Black Opera : History, Power, Engagement</t>
  </si>
  <si>
    <t>ML1700</t>
  </si>
  <si>
    <t>https://ebookcentral.proquest.com/lib/cam/detail.action?docID=5404257</t>
  </si>
  <si>
    <t>The Work of Recognition : Caribbean Colombia and the Postemancipation Struggle for Citizenship</t>
  </si>
  <si>
    <t>305.896/0861</t>
  </si>
  <si>
    <t>F2299.B55.M35 2014eb</t>
  </si>
  <si>
    <t>https://ebookcentral.proquest.com/lib/cam/detail.action?docID=1731666</t>
  </si>
  <si>
    <t>Civil Rights and Beyond : African American and Latino/a Activism in the Twentieth-Century United States</t>
  </si>
  <si>
    <t>E185.61 -- .C5916 2016eb</t>
  </si>
  <si>
    <t>https://ebookcentral.proquest.com/lib/cam/detail.action?docID=4471217</t>
  </si>
  <si>
    <t>Funk the Erotic : Transaesthetics and Black Sexual Cultures</t>
  </si>
  <si>
    <t>306.7089/96073</t>
  </si>
  <si>
    <t>https://ebookcentral.proquest.com/lib/cam/detail.action?docID=4306040</t>
  </si>
  <si>
    <t>A British Profession of Arms : The Politics of Command in the Late Victorian Army</t>
  </si>
  <si>
    <t>UB415.G7 .B435 2018</t>
  </si>
  <si>
    <t>https://ebookcentral.proquest.com/lib/cam/detail.action?docID=5549052</t>
  </si>
  <si>
    <t>Piracy and Law in the Ottoman Mediterranean</t>
  </si>
  <si>
    <t>345.56/0264</t>
  </si>
  <si>
    <t>https://ebookcentral.proquest.com/lib/cam/detail.action?docID=5165523</t>
  </si>
  <si>
    <t>Projecting the World : Representing the "Foreign" in Classical Hollywood</t>
  </si>
  <si>
    <t>791.43/658</t>
  </si>
  <si>
    <t>PN1995.9.N33 .P765 2017</t>
  </si>
  <si>
    <t>https://ebookcentral.proquest.com/lib/cam/detail.action?docID=5647927</t>
  </si>
  <si>
    <t>The Chinese Must Go : Violence, Exclusion, and the Making of the Alien in America</t>
  </si>
  <si>
    <t>305.895/1073</t>
  </si>
  <si>
    <t>https://ebookcentral.proquest.com/lib/cam/detail.action?docID=5287722</t>
  </si>
  <si>
    <t>Healing the African Body : British Medicine in West Africa, 1800-1860</t>
  </si>
  <si>
    <t>RA552</t>
  </si>
  <si>
    <t>https://ebookcentral.proquest.com/lib/cam/detail.action?docID=4415153</t>
  </si>
  <si>
    <t>Labor's Mind : A History of Working-Class Intellectual Life</t>
  </si>
  <si>
    <t>HD8072</t>
  </si>
  <si>
    <t>https://ebookcentral.proquest.com/lib/cam/detail.action?docID=5621962</t>
  </si>
  <si>
    <t>From the Mari Archives : An Anthology of Old Babylonian Letters</t>
  </si>
  <si>
    <t>935/.501</t>
  </si>
  <si>
    <t>DS99.M3 -- .S27 2015eb</t>
  </si>
  <si>
    <t>https://ebookcentral.proquest.com/lib/cam/detail.action?docID=3426087</t>
  </si>
  <si>
    <t>Beyond Mosque, Church, and State : Alternative Narratives of the Nation in the Balkans</t>
  </si>
  <si>
    <t>DR24.B496 2016eb</t>
  </si>
  <si>
    <t>https://ebookcentral.proquest.com/lib/cam/detail.action?docID=4662143</t>
  </si>
  <si>
    <t>Preserving the White Man's Republic : Jacksonian Democracy, Race, and the Transformation of American Conservatism</t>
  </si>
  <si>
    <t>JK2316 .L966 2019</t>
  </si>
  <si>
    <t>https://ebookcentral.proquest.com/lib/cam/detail.action?docID=5683524</t>
  </si>
  <si>
    <t>The Habermas Handbook</t>
  </si>
  <si>
    <t>B3258.H324 .H334 2009</t>
  </si>
  <si>
    <t>https://ebookcentral.proquest.com/lib/cam/detail.action?docID=5276173</t>
  </si>
  <si>
    <t>Inside Ocean Hill-Brownsville : A Teacher's Education, 1968-69</t>
  </si>
  <si>
    <t>Economics; Education</t>
  </si>
  <si>
    <t>LB2844.47.U62 -- .N485 2014eb</t>
  </si>
  <si>
    <t>https://ebookcentral.proquest.com/lib/cam/detail.action?docID=3408873</t>
  </si>
  <si>
    <t>No More Work : Why Full Employment Is a Bad Idea</t>
  </si>
  <si>
    <t>HD8045.L58 2016</t>
  </si>
  <si>
    <t>https://ebookcentral.proquest.com/lib/cam/detail.action?docID=4525804</t>
  </si>
  <si>
    <t>Nationalism in Central Asia : A Biography of the Uzbekistan-Kyrgyzstan Boundary</t>
  </si>
  <si>
    <t>320.1/20958</t>
  </si>
  <si>
    <t>DK948</t>
  </si>
  <si>
    <t>https://ebookcentral.proquest.com/lib/cam/detail.action?docID=5089322</t>
  </si>
  <si>
    <t>Victorian Jesus : J.R. Seeley, Religion, and the Cultural Significance of Anonymity</t>
  </si>
  <si>
    <t>DA3.S4.H475 2017</t>
  </si>
  <si>
    <t>https://ebookcentral.proquest.com/lib/cam/detail.action?docID=5056683</t>
  </si>
  <si>
    <t>The Fate of Rome : Climate, Disease, and the End of an Empire</t>
  </si>
  <si>
    <t>937/.06</t>
  </si>
  <si>
    <t>DG311.H377 2017</t>
  </si>
  <si>
    <t>https://ebookcentral.proquest.com/lib/cam/detail.action?docID=5103890</t>
  </si>
  <si>
    <t>Glaphyra on the Pentateuch, Volume 1</t>
  </si>
  <si>
    <t>https://ebookcentral.proquest.com/lib/cam/detail.action?docID=5667614</t>
  </si>
  <si>
    <t>Heidegger's Fascist Affinities : A Politics of Silence</t>
  </si>
  <si>
    <t>B3279.H49 .K569 2019</t>
  </si>
  <si>
    <t>https://ebookcentral.proquest.com/lib/cam/detail.action?docID=5679870</t>
  </si>
  <si>
    <t>Ambient Media : Japanese Atmospheres of Self</t>
  </si>
  <si>
    <t>302.23/0952</t>
  </si>
  <si>
    <t>P92.J3R67 2015</t>
  </si>
  <si>
    <t>https://ebookcentral.proquest.com/lib/cam/detail.action?docID=4391813</t>
  </si>
  <si>
    <t>God's Mirror : Renewal and Engagement in French Catholic Intellectual Culture in the Mid-Twentieth Century</t>
  </si>
  <si>
    <t>282/.4409043</t>
  </si>
  <si>
    <t>BX1530 -- .G637 2015eb</t>
  </si>
  <si>
    <t>https://ebookcentral.proquest.com/lib/cam/detail.action?docID=3430724</t>
  </si>
  <si>
    <t>Intersex Matters : Biomedical Embodiment, Gender Regulation, and Transnational Activism</t>
  </si>
  <si>
    <t>306.76/85</t>
  </si>
  <si>
    <t>HQ78.R83 2017</t>
  </si>
  <si>
    <t>https://ebookcentral.proquest.com/lib/cam/detail.action?docID=5085088</t>
  </si>
  <si>
    <t>Triumph of the Dead : American World War II Cemeteries, Monuments, and Diplomacy in France</t>
  </si>
  <si>
    <t>940.54/6544</t>
  </si>
  <si>
    <t>D810</t>
  </si>
  <si>
    <t>https://ebookcentral.proquest.com/lib/cam/detail.action?docID=5512488</t>
  </si>
  <si>
    <t>The Afterlives of Specimens : Science, Mourning, and Whitman's Civil War</t>
  </si>
  <si>
    <t>PS3242</t>
  </si>
  <si>
    <t>https://ebookcentral.proquest.com/lib/cam/detail.action?docID=5106033</t>
  </si>
  <si>
    <t>Sonata Fragments : Romantic Narratives in Chopin, Schumann, and Brahms</t>
  </si>
  <si>
    <t>786.2/18309</t>
  </si>
  <si>
    <t>ML1156.D385 2017</t>
  </si>
  <si>
    <t>https://ebookcentral.proquest.com/lib/cam/detail.action?docID=5051439</t>
  </si>
  <si>
    <t>American Literary History and the Turn Toward Modernity</t>
  </si>
  <si>
    <t>810.9/004</t>
  </si>
  <si>
    <t>PS27.A44 2018</t>
  </si>
  <si>
    <t>https://ebookcentral.proquest.com/lib/cam/detail.action?docID=5495444</t>
  </si>
  <si>
    <t>Capital and Time : For a New Critique of Neoliberal Reason</t>
  </si>
  <si>
    <t>HG6015 .K66 2018</t>
  </si>
  <si>
    <t>https://ebookcentral.proquest.com/lib/cam/detail.action?docID=5178033</t>
  </si>
  <si>
    <t>Partitions : A Transnational History of Twentieth-Century Territorial Separatism</t>
  </si>
  <si>
    <t>https://ebookcentral.proquest.com/lib/cam/detail.action?docID=5607640</t>
  </si>
  <si>
    <t>Desbordes : Translating Racial, Ethnic, Sexual, and Gender Identities across the Americas</t>
  </si>
  <si>
    <t>306.76/6098</t>
  </si>
  <si>
    <t>HQ76.3.L29 -- .V57 2014eb</t>
  </si>
  <si>
    <t>https://ebookcentral.proquest.com/lib/cam/detail.action?docID=3408931</t>
  </si>
  <si>
    <t>Moscow Rules : What Drives Russia to Confront the West</t>
  </si>
  <si>
    <t>DK66 .G554 2019</t>
  </si>
  <si>
    <t>https://ebookcentral.proquest.com/lib/cam/detail.action?docID=5253422</t>
  </si>
  <si>
    <t>Beyond Two Worlds : Critical Conversations on Language and Power in Native North America</t>
  </si>
  <si>
    <t>E98.E85 -- .B49 2014eb</t>
  </si>
  <si>
    <t>https://ebookcentral.proquest.com/lib/cam/detail.action?docID=3408922</t>
  </si>
  <si>
    <t>The Church and the Land: the National Catholic Rural Life Conference and American Society, 1923-2007 Church and the Land</t>
  </si>
  <si>
    <t>BX1407</t>
  </si>
  <si>
    <t>https://ebookcentral.proquest.com/lib/cam/detail.action?docID=3135046</t>
  </si>
  <si>
    <t>Imperial Gamble : Putin, Ukraine, and the New Cold War</t>
  </si>
  <si>
    <t>DK67.5.U38 -- .K353 2015eb</t>
  </si>
  <si>
    <t>https://ebookcentral.proquest.com/lib/cam/detail.action?docID=4351278</t>
  </si>
  <si>
    <t>The Cosmopolitan Dream : Transnational Chinese Masculinities in a Global Age</t>
  </si>
  <si>
    <t>https://ebookcentral.proquest.com/lib/cam/detail.action?docID=5594273</t>
  </si>
  <si>
    <t>Colonial Intimacies : Interethnic Kinship, Sexuality, and Marriage in Southern California, 1769-1885</t>
  </si>
  <si>
    <t>F870.M5 .P474 2018</t>
  </si>
  <si>
    <t>https://ebookcentral.proquest.com/lib/cam/detail.action?docID=5231280</t>
  </si>
  <si>
    <t>Confucianism for the Contemporary World : Global Order, Political Plurality, and Social Action</t>
  </si>
  <si>
    <t>B127.C65.C643 2017</t>
  </si>
  <si>
    <t>https://ebookcentral.proquest.com/lib/cam/detail.action?docID=5043178</t>
  </si>
  <si>
    <t>Meeting Place : Encounters across Cultures in Hong Kong, 1841–1984</t>
  </si>
  <si>
    <t>HM1211 .M448 2017</t>
  </si>
  <si>
    <t>https://ebookcentral.proquest.com/lib/cam/detail.action?docID=5218542</t>
  </si>
  <si>
    <t>Leo Strauss on the Borders of Judaism, Philosophy, and History</t>
  </si>
  <si>
    <t>Philosophy; Religion</t>
  </si>
  <si>
    <t>BM755.S75B47 2015</t>
  </si>
  <si>
    <t>https://ebookcentral.proquest.com/lib/cam/detail.action?docID=3409039</t>
  </si>
  <si>
    <t>Gender, Health, and History in Modern East Asia</t>
  </si>
  <si>
    <t>613.96 23</t>
  </si>
  <si>
    <t>HQ31 .G463 2017</t>
  </si>
  <si>
    <t>https://ebookcentral.proquest.com/lib/cam/detail.action?docID=5106934</t>
  </si>
  <si>
    <t>Unequal Freedoms : Ethnicity, Race, and White Supremacy in Civil War Era Charleston</t>
  </si>
  <si>
    <t>F279.C49 .U384 2015</t>
  </si>
  <si>
    <t>https://ebookcentral.proquest.com/lib/cam/detail.action?docID=2122852</t>
  </si>
  <si>
    <t>Nollywood : The Making of a Film Empire</t>
  </si>
  <si>
    <t>TR590 .W588 2017</t>
  </si>
  <si>
    <t>https://ebookcentral.proquest.com/lib/cam/detail.action?docID=5179459</t>
  </si>
  <si>
    <t>Wong Kar-Wai : Wong Kar-Wai</t>
  </si>
  <si>
    <t>791.4302/33/092</t>
  </si>
  <si>
    <t>https://ebookcentral.proquest.com/lib/cam/detail.action?docID=3414334</t>
  </si>
  <si>
    <t>Prosody and Language in Contact : L2 Acquisition, Attrition and Languages in Multilingual Situations</t>
  </si>
  <si>
    <t>https://ebookcentral.proquest.com/lib/cam/detail.action?docID=1998126</t>
  </si>
  <si>
    <t>Object Lessons : The Novel as a Theory of Reference</t>
  </si>
  <si>
    <t>PR821</t>
  </si>
  <si>
    <t>https://ebookcentral.proquest.com/lib/cam/detail.action?docID=4437763</t>
  </si>
  <si>
    <t>Heaven Is Empty : A Cross-Cultural Approach to Religion and Empire in Ancient China</t>
  </si>
  <si>
    <t>BL1825 .M377 2018</t>
  </si>
  <si>
    <t>https://ebookcentral.proquest.com/lib/cam/detail.action?docID=5573357</t>
  </si>
  <si>
    <t>The Science and Politics of Race in Mexico and the United States, 1910-1950</t>
  </si>
  <si>
    <t>306.4/50970904</t>
  </si>
  <si>
    <t>Q175.52.M6 .R674 2018</t>
  </si>
  <si>
    <t>https://ebookcentral.proquest.com/lib/cam/detail.action?docID=5322090</t>
  </si>
  <si>
    <t>Welcome to Fairyland : Queer Miami Before 1940</t>
  </si>
  <si>
    <t>HQ76.3.U62.C376 2017</t>
  </si>
  <si>
    <t>https://ebookcentral.proquest.com/lib/cam/detail.action?docID=5105868</t>
  </si>
  <si>
    <t>State Violence and Moral Horror</t>
  </si>
  <si>
    <t>JC328.6.A766 2017</t>
  </si>
  <si>
    <t>https://ebookcentral.proquest.com/lib/cam/detail.action?docID=5103299</t>
  </si>
  <si>
    <t>Black Tudors : The Untold Story</t>
  </si>
  <si>
    <t>941/.00496</t>
  </si>
  <si>
    <t>https://ebookcentral.proquest.com/lib/cam/detail.action?docID=5508510</t>
  </si>
  <si>
    <t>The Politics of Power : EU-Russia Energy Relations in the 21st Century</t>
  </si>
  <si>
    <t>Economics; Environmental Studies; Social Science</t>
  </si>
  <si>
    <t>https://ebookcentral.proquest.com/lib/cam/detail.action?docID=4791113</t>
  </si>
  <si>
    <t>Last Civilized Place : Sijilmasa and Its Saharan Destiny</t>
  </si>
  <si>
    <t>DT329.S57 -- .M477 2015eb</t>
  </si>
  <si>
    <t>https://ebookcentral.proquest.com/lib/cam/detail.action?docID=3443748</t>
  </si>
  <si>
    <t>Cinema, Nation, and Empire in Uzbekistan, 1919-1937</t>
  </si>
  <si>
    <t>PN1993.5.U9 .D754 2018</t>
  </si>
  <si>
    <t>https://ebookcentral.proquest.com/lib/cam/detail.action?docID=5626683</t>
  </si>
  <si>
    <t>Imagining the Postcolonial : Discipline, Poetics, Practice in Latin American and Francophone Discourse</t>
  </si>
  <si>
    <t>809/.93358</t>
  </si>
  <si>
    <t>PN56.P555 -- .H366 2015eb</t>
  </si>
  <si>
    <t>https://ebookcentral.proquest.com/lib/cam/detail.action?docID=3409037</t>
  </si>
  <si>
    <t>Conflicts of Devotion : Liturgical Poetics in Sixteenth- and Seventeenth-Century England</t>
  </si>
  <si>
    <t>821/.309382</t>
  </si>
  <si>
    <t>PR508.R4.G533 2017</t>
  </si>
  <si>
    <t>https://ebookcentral.proquest.com/lib/cam/detail.action?docID=4731621</t>
  </si>
  <si>
    <t>Histories of the Transgender Child</t>
  </si>
  <si>
    <t>HQ77.95.U6 .G555 2018</t>
  </si>
  <si>
    <t>https://ebookcentral.proquest.com/lib/cam/detail.action?docID=5567268</t>
  </si>
  <si>
    <t>Savage Kin : Indigenous Informants and American Anthropologists</t>
  </si>
  <si>
    <t>GN33</t>
  </si>
  <si>
    <t>https://ebookcentral.proquest.com/lib/cam/detail.action?docID=5252881</t>
  </si>
  <si>
    <t>Modernity and Autobiography in Nineteenth-Century America : Literary Representations of Communication and Transportation Technologies</t>
  </si>
  <si>
    <t>https://ebookcentral.proquest.com/lib/cam/detail.action?docID=5047775</t>
  </si>
  <si>
    <t>The Halo of Golden Light : Imperial Authority and Buddhist Ritual in Heian Japan</t>
  </si>
  <si>
    <t>294.30952/09021</t>
  </si>
  <si>
    <t>BQ685 -- .S35 2015eb</t>
  </si>
  <si>
    <t>https://ebookcentral.proquest.com/lib/cam/detail.action?docID=3413797</t>
  </si>
  <si>
    <t>Contracultura : Alternative Arts and Social Transformation in Authoritarian Brazil</t>
  </si>
  <si>
    <t>HN283.5.D86 2016</t>
  </si>
  <si>
    <t>https://ebookcentral.proquest.com/lib/cam/detail.action?docID=4525810</t>
  </si>
  <si>
    <t>Martin Buber's Theopolitics</t>
  </si>
  <si>
    <t>B3213.B84 .B763 2018</t>
  </si>
  <si>
    <t>https://ebookcentral.proquest.com/lib/cam/detail.action?docID=5320958</t>
  </si>
  <si>
    <t>Sonic Intimacy : Voice, Species, Technics (or, How to Listen to the World)</t>
  </si>
  <si>
    <t>128/.3</t>
  </si>
  <si>
    <t>B105.L54.P48 2017</t>
  </si>
  <si>
    <t>https://ebookcentral.proquest.com/lib/cam/detail.action?docID=4862149</t>
  </si>
  <si>
    <t>An Archipelago of Care : Filipino Migrants and Global Networks</t>
  </si>
  <si>
    <t>HD8398.F55.M35 2016</t>
  </si>
  <si>
    <t>https://ebookcentral.proquest.com/lib/cam/detail.action?docID=4772017</t>
  </si>
  <si>
    <t>Understanding South Asian Minorities in Hong Kong</t>
  </si>
  <si>
    <t>HN752.5 -- .E765 2014eb</t>
  </si>
  <si>
    <t>https://ebookcentral.proquest.com/lib/cam/detail.action?docID=1983607</t>
  </si>
  <si>
    <t>Dividing Hispaniola : The Dominican Republic's Border Campaign against Haiti, 1930-1961</t>
  </si>
  <si>
    <t>F1938</t>
  </si>
  <si>
    <t>https://ebookcentral.proquest.com/lib/cam/detail.action?docID=4525854</t>
  </si>
  <si>
    <t>Stop and Frisk : The Use and Abuse of a Controversial Policing Tactic</t>
  </si>
  <si>
    <t>363.2/3</t>
  </si>
  <si>
    <t>HV8080.P2.W45 2016eb</t>
  </si>
  <si>
    <t>https://ebookcentral.proquest.com/lib/cam/detail.action?docID=4500662</t>
  </si>
  <si>
    <t>Reveries of Community : French Epic in the Age of Henri IV, 1572–1616</t>
  </si>
  <si>
    <t>PQ447</t>
  </si>
  <si>
    <t>https://ebookcentral.proquest.com/lib/cam/detail.action?docID=5088362</t>
  </si>
  <si>
    <t>Jewish Pasts, German Fictions : History, Memory, and Minority Culture in Germany, 1824-1955</t>
  </si>
  <si>
    <t>PT749</t>
  </si>
  <si>
    <t>https://ebookcentral.proquest.com/lib/cam/detail.action?docID=1634055</t>
  </si>
  <si>
    <t>Digital Shift : The Cultural Logic of Punctuation</t>
  </si>
  <si>
    <t>P96.T42 -- .S34 2015eb</t>
  </si>
  <si>
    <t>https://ebookcentral.proquest.com/lib/cam/detail.action?docID=1981342</t>
  </si>
  <si>
    <t>Psychedelic Popular Music : A History Through Musical Topic Theory</t>
  </si>
  <si>
    <t>ML3534.E243 2018</t>
  </si>
  <si>
    <t>https://ebookcentral.proquest.com/lib/cam/detail.action?docID=4900803</t>
  </si>
  <si>
    <t>Imagining Indianness : Cultural Identity and Literature</t>
  </si>
  <si>
    <t>https://ebookcentral.proquest.com/lib/cam/detail.action?docID=4802140</t>
  </si>
  <si>
    <t>Improper Names : Collective Pseudonyms from the Luddites to Anonymous</t>
  </si>
  <si>
    <t>PN171.A6 -- .D474 2015eb</t>
  </si>
  <si>
    <t>https://ebookcentral.proquest.com/lib/cam/detail.action?docID=4391798</t>
  </si>
  <si>
    <t>Apple of Discord : The "Hungarian Factor" in Austro-Serbian Relations, 1867-1881</t>
  </si>
  <si>
    <t>DR1976.A9 -- .A76 2014eb</t>
  </si>
  <si>
    <t>https://ebookcentral.proquest.com/lib/cam/detail.action?docID=3121082</t>
  </si>
  <si>
    <t>Beyond Alterity : Destabilizing the Indigenous Other in Mexico</t>
  </si>
  <si>
    <t>https://ebookcentral.proquest.com/lib/cam/detail.action?docID=5275381</t>
  </si>
  <si>
    <t>On Anger : Race, Cognition, Narrative</t>
  </si>
  <si>
    <t>809/.93353</t>
  </si>
  <si>
    <t>PN56.A6 -- .K57 2013eb</t>
  </si>
  <si>
    <t>https://ebookcentral.proquest.com/lib/cam/detail.action?docID=3443684</t>
  </si>
  <si>
    <t>The #MeToo Movement</t>
  </si>
  <si>
    <t>HV6625 .H555 2019</t>
  </si>
  <si>
    <t>https://ebookcentral.proquest.com/lib/cam/detail.action?docID=5583957</t>
  </si>
  <si>
    <t>The Archaeology of Slavery : A Comparative Approach to Captivity and Coercion</t>
  </si>
  <si>
    <t>HT861</t>
  </si>
  <si>
    <t>https://ebookcentral.proquest.com/lib/cam/detail.action?docID=1920762</t>
  </si>
  <si>
    <t>Interpreting Anime</t>
  </si>
  <si>
    <t>791.43/340952</t>
  </si>
  <si>
    <t>NC1766.J3 .B658 2018</t>
  </si>
  <si>
    <t>https://ebookcentral.proquest.com/lib/cam/detail.action?docID=5265309</t>
  </si>
  <si>
    <t>Immigration and National Identities in Latin America</t>
  </si>
  <si>
    <t>JV7398 -- .I46 2014eb</t>
  </si>
  <si>
    <t>https://ebookcentral.proquest.com/lib/cam/detail.action?docID=1833893</t>
  </si>
  <si>
    <t>Universities in Imperial Austria 1848–1918 : A Social History of a Multilingual Space</t>
  </si>
  <si>
    <t>LC178.A9 .S876 2019</t>
  </si>
  <si>
    <t>https://ebookcentral.proquest.com/lib/cam/detail.action?docID=5614349</t>
  </si>
  <si>
    <t>Mandarin Brazil : Race, Representation, and Memory</t>
  </si>
  <si>
    <t>F2659.C5 .L44 2018</t>
  </si>
  <si>
    <t>https://ebookcentral.proquest.com/lib/cam/detail.action?docID=5407381</t>
  </si>
  <si>
    <t>The Garden of God : Toward a Human Ecology</t>
  </si>
  <si>
    <t>261.8/8</t>
  </si>
  <si>
    <t>https://ebookcentral.proquest.com/lib/cam/detail.action?docID=3135160</t>
  </si>
  <si>
    <t>Unruly Rhetorics : Protest, Persuasion, and Publics</t>
  </si>
  <si>
    <t>https://ebookcentral.proquest.com/lib/cam/detail.action?docID=5568317</t>
  </si>
  <si>
    <t>Politics of Architecture in Contemporary Argentine Cinema</t>
  </si>
  <si>
    <t>https://ebookcentral.proquest.com/lib/cam/detail.action?docID=4920978</t>
  </si>
  <si>
    <t>Buddhist Feminisms and Femininities</t>
  </si>
  <si>
    <t>BQ4570.W6 B79 2018</t>
  </si>
  <si>
    <t>https://ebookcentral.proquest.com/lib/cam/detail.action?docID=5639024</t>
  </si>
  <si>
    <t>Eminent Buddhist Women</t>
  </si>
  <si>
    <t>BQ850 -- .E65 2014eb</t>
  </si>
  <si>
    <t>https://ebookcentral.proquest.com/lib/cam/detail.action?docID=3408925</t>
  </si>
  <si>
    <t>The Metropolitan Revolution : How Cities and Metros Are Fixing Our Broken Politics and Fragile Economy</t>
  </si>
  <si>
    <t>Social Science; Economics; Business/Management</t>
  </si>
  <si>
    <t>HT334.U5 -- K38 2013eb</t>
  </si>
  <si>
    <t>https://ebookcentral.proquest.com/lib/cam/detail.action?docID=1214202</t>
  </si>
  <si>
    <t>Interruptions : The Fragmentary Aesthetic in Modern Literature</t>
  </si>
  <si>
    <t>808.001/4</t>
  </si>
  <si>
    <t>P302</t>
  </si>
  <si>
    <t>https://ebookcentral.proquest.com/lib/cam/detail.action?docID=5330090</t>
  </si>
  <si>
    <t>Reshaping Women's History : Voices of Nontraditional Women Historians</t>
  </si>
  <si>
    <t>HQ1181</t>
  </si>
  <si>
    <t>https://ebookcentral.proquest.com/lib/cam/detail.action?docID=5559707</t>
  </si>
  <si>
    <t>The Hand of the Engraver : Albert Flocon Meets Gaston Bachelard</t>
  </si>
  <si>
    <t>NE654.F59 .R4913 2018</t>
  </si>
  <si>
    <t>https://ebookcentral.proquest.com/lib/cam/detail.action?docID=5607654</t>
  </si>
  <si>
    <t>Robert Mugabe</t>
  </si>
  <si>
    <t>DT3000.O57 2018</t>
  </si>
  <si>
    <t>https://ebookcentral.proquest.com/lib/cam/detail.action?docID=5314691</t>
  </si>
  <si>
    <t>The End of an Era? Robert Mugabe and a Conflicting Legacy</t>
  </si>
  <si>
    <t>DT3000 .E53 2018</t>
  </si>
  <si>
    <t>https://ebookcentral.proquest.com/lib/cam/detail.action?docID=5583832</t>
  </si>
  <si>
    <t>Education As Politics : Colonial Schooling and Political Debate in Senegal, 1850s-1914</t>
  </si>
  <si>
    <t>History; Education</t>
  </si>
  <si>
    <t>DT549</t>
  </si>
  <si>
    <t>https://ebookcentral.proquest.com/lib/cam/detail.action?docID=3445447</t>
  </si>
  <si>
    <t>Welcome to Fear City : Crime Film, Crisis, and the Urban Imagination</t>
  </si>
  <si>
    <t>791.43/621732</t>
  </si>
  <si>
    <t>PN1995.9.C513H65</t>
  </si>
  <si>
    <t>https://ebookcentral.proquest.com/lib/cam/detail.action?docID=5527551</t>
  </si>
  <si>
    <t>Empty Sleeves : Amputation in the Civil War South</t>
  </si>
  <si>
    <t>973.7/75</t>
  </si>
  <si>
    <t>E625 -- .M555 2015eb</t>
  </si>
  <si>
    <t>https://ebookcentral.proquest.com/lib/cam/detail.action?docID=2008639</t>
  </si>
  <si>
    <t>Complicity and Moral Accountability</t>
  </si>
  <si>
    <t>BJ1451 -- .M455 2016eb</t>
  </si>
  <si>
    <t>https://ebookcentral.proquest.com/lib/cam/detail.action?docID=4454320</t>
  </si>
  <si>
    <t>The 2016 US Presidential Campaign : Political Communication and Practice</t>
  </si>
  <si>
    <t>Science; Political Science</t>
  </si>
  <si>
    <t>https://ebookcentral.proquest.com/lib/cam/detail.action?docID=4922011</t>
  </si>
  <si>
    <t>Reality Radio, Second Edition : Telling True Stories in Sound</t>
  </si>
  <si>
    <t>Journalism; Fine Arts</t>
  </si>
  <si>
    <t>PN1991.8.D63.R435 2017</t>
  </si>
  <si>
    <t>https://ebookcentral.proquest.com/lib/cam/detail.action?docID=4805198</t>
  </si>
  <si>
    <t>What Gender Is, What Gender Does</t>
  </si>
  <si>
    <t>155.3/3</t>
  </si>
  <si>
    <t>BF692.2.R66 2015</t>
  </si>
  <si>
    <t>https://ebookcentral.proquest.com/lib/cam/detail.action?docID=4392052</t>
  </si>
  <si>
    <t>Before the West Was West : Critical Essays on Pre-1800 Literature of the American Frontiers</t>
  </si>
  <si>
    <t>PS169.W4 -- .B446 2014eb</t>
  </si>
  <si>
    <t>https://ebookcentral.proquest.com/lib/cam/detail.action?docID=1775253</t>
  </si>
  <si>
    <t>China's Pension System : A Vision</t>
  </si>
  <si>
    <t>331.25/20951</t>
  </si>
  <si>
    <t>HD7230 -- .D67 2013eb</t>
  </si>
  <si>
    <t>https://ebookcentral.proquest.com/lib/cam/detail.action?docID=1154777</t>
  </si>
  <si>
    <t>Investigating the Ordinary : Everyday Matters in Southeast Archaeology</t>
  </si>
  <si>
    <t>E78.S65 .I584 2018</t>
  </si>
  <si>
    <t>https://ebookcentral.proquest.com/lib/cam/detail.action?docID=5200636</t>
  </si>
  <si>
    <t>Are All the Women Still White? : Rethinking Race, Expanding Feminisms</t>
  </si>
  <si>
    <t>E185.86 -- .A74 2016eb</t>
  </si>
  <si>
    <t>https://ebookcentral.proquest.com/lib/cam/detail.action?docID=4529065</t>
  </si>
  <si>
    <t>Postnational Perspectives on Contemporary Hispanic Literature</t>
  </si>
  <si>
    <t>PQ7081.P678 2017</t>
  </si>
  <si>
    <t>https://ebookcentral.proquest.com/lib/cam/detail.action?docID=5047221</t>
  </si>
  <si>
    <t>The Book of Divine Works</t>
  </si>
  <si>
    <t>248.2/2</t>
  </si>
  <si>
    <t>BV5082</t>
  </si>
  <si>
    <t>https://ebookcentral.proquest.com/lib/cam/detail.action?docID=5571074</t>
  </si>
  <si>
    <t>Recovering Lost Footprints, Volume 1 : Contemporary Maya Narratives</t>
  </si>
  <si>
    <t>897/.42709</t>
  </si>
  <si>
    <t>PM3968</t>
  </si>
  <si>
    <t>https://ebookcentral.proquest.com/lib/cam/detail.action?docID=5050338</t>
  </si>
  <si>
    <t>Thomas Aquinas and His Predecessors : The Philosophers and the Church Fathers</t>
  </si>
  <si>
    <t>https://ebookcentral.proquest.com/lib/cam/detail.action?docID=5378061</t>
  </si>
  <si>
    <t>In Search of the Hebrew People : Bible and Nation in the German Enlightenment</t>
  </si>
  <si>
    <t>BS1186 .I436 2018</t>
  </si>
  <si>
    <t>https://ebookcentral.proquest.com/lib/cam/detail.action?docID=5354042</t>
  </si>
  <si>
    <t>Beyond Respectability : The Intellectual Thought of Race Women</t>
  </si>
  <si>
    <t>https://ebookcentral.proquest.com/lib/cam/detail.action?docID=4866471</t>
  </si>
  <si>
    <t>Revisions and Dissents : Essays</t>
  </si>
  <si>
    <t>Cornell University Press</t>
  </si>
  <si>
    <t>JC573.G688 2017</t>
  </si>
  <si>
    <t>https://ebookcentral.proquest.com/lib/cam/detail.action?docID=4903976</t>
  </si>
  <si>
    <t>Global Lynching and Collective Violence : Volume 1: Asia, Africa, and the Middle East</t>
  </si>
  <si>
    <t>364.1/34</t>
  </si>
  <si>
    <t>HV6455</t>
  </si>
  <si>
    <t>https://ebookcentral.proquest.com/lib/cam/detail.action?docID=4813404</t>
  </si>
  <si>
    <t>Religious Experience in the Work of Richard Wagner</t>
  </si>
  <si>
    <t>https://ebookcentral.proquest.com/lib/cam/detail.action?docID=3425913</t>
  </si>
  <si>
    <t>Capacity Contract : Intellectual Disability and the Question of Citizenship</t>
  </si>
  <si>
    <t>HV3004 .S54 2015</t>
  </si>
  <si>
    <t>https://ebookcentral.proquest.com/lib/cam/detail.action?docID=2002051</t>
  </si>
  <si>
    <t>Interrogating Disability in India : Theory and Practice</t>
  </si>
  <si>
    <t>Springer (India) Private Limited</t>
  </si>
  <si>
    <t>https://ebookcentral.proquest.com/lib/cam/detail.action?docID=4684322</t>
  </si>
  <si>
    <t>The Evolution of the Global Terrorist Threat : From 9/11 to Osama bin Laden's Death</t>
  </si>
  <si>
    <t>HV6431 -- .E934 2014eb</t>
  </si>
  <si>
    <t>https://ebookcentral.proquest.com/lib/cam/detail.action?docID=1801702</t>
  </si>
  <si>
    <t>The Rise of the Alt-Right</t>
  </si>
  <si>
    <t>JC573.2.U6 .M356 2018</t>
  </si>
  <si>
    <t>https://ebookcentral.proquest.com/lib/cam/detail.action?docID=5180006</t>
  </si>
  <si>
    <t>Transcolonial Maghreb : Imagining Palestine in the Era of Decolonization</t>
  </si>
  <si>
    <t>PN849</t>
  </si>
  <si>
    <t>https://ebookcentral.proquest.com/lib/cam/detail.action?docID=4414750</t>
  </si>
  <si>
    <t>Antjie Krog and the Post-Apartheid Public Sphere : Speaking Poetry to Power</t>
  </si>
  <si>
    <t>PT6592.21.R6.Z632 2015</t>
  </si>
  <si>
    <t>https://ebookcentral.proquest.com/lib/cam/detail.action?docID=4717540</t>
  </si>
  <si>
    <t>Bargaining for Women's Rights : Activism in an Aspiring Muslim Democracy</t>
  </si>
  <si>
    <t>HQ1236.5.I74 -- .K364 2015eb</t>
  </si>
  <si>
    <t>https://ebookcentral.proquest.com/lib/cam/detail.action?docID=4391782</t>
  </si>
  <si>
    <t>Furiously Funny : Comic Rage from Ralph Ellison to Chris Rock</t>
  </si>
  <si>
    <t>PN2286 .T835 2018</t>
  </si>
  <si>
    <t>https://ebookcentral.proquest.com/lib/cam/detail.action?docID=5200547</t>
  </si>
  <si>
    <t>Architecture, Ethics, and Technology/Architecture Éthique et Technologie</t>
  </si>
  <si>
    <t>NA2543.T43 -- A72 1994eb</t>
  </si>
  <si>
    <t>https://ebookcentral.proquest.com/lib/cam/detail.action?docID=3331509</t>
  </si>
  <si>
    <t>Civil Rights, Culture Wars : The Fight over a Mississippi Textbook</t>
  </si>
  <si>
    <t>E175.8.E24 2017</t>
  </si>
  <si>
    <t>https://ebookcentral.proquest.com/lib/cam/detail.action?docID=4799497</t>
  </si>
  <si>
    <t>Elusive Adulthoods : The Anthropology of New Maturities</t>
  </si>
  <si>
    <t>HQ799.95 .E48 2017</t>
  </si>
  <si>
    <t>https://ebookcentral.proquest.com/lib/cam/detail.action?docID=5452145</t>
  </si>
  <si>
    <t>The Politics of Rights and the 1911 Revolution in China</t>
  </si>
  <si>
    <t>DS773.55.S54 .Z446 2018</t>
  </si>
  <si>
    <t>https://ebookcentral.proquest.com/lib/cam/detail.action?docID=5231135</t>
  </si>
  <si>
    <t>Africa in the Colonial Ages of Empire : Slavery, Capitalism, Racism, Colonialism, Decolonization, Independence As Recolonizati</t>
  </si>
  <si>
    <t>HC800 .M468 2018</t>
  </si>
  <si>
    <t>https://ebookcentral.proquest.com/lib/cam/detail.action?docID=5301857</t>
  </si>
  <si>
    <t>Brother Bill : President Clinton and the Politics of Race and Class</t>
  </si>
  <si>
    <t>E886</t>
  </si>
  <si>
    <t>https://ebookcentral.proquest.com/lib/cam/detail.action?docID=4513942</t>
  </si>
  <si>
    <t>Serving the Nation : Cherokee Sovereignty and Social Welfare, 1800-1907</t>
  </si>
  <si>
    <t>E99.C5 -- .R359 2016eb</t>
  </si>
  <si>
    <t>https://ebookcentral.proquest.com/lib/cam/detail.action?docID=4509051</t>
  </si>
  <si>
    <t>Race and the Literary Encounter : Black Literature from James Weldon Johnson to Percival Everett</t>
  </si>
  <si>
    <t>PS153.N5W348 2012</t>
  </si>
  <si>
    <t>https://ebookcentral.proquest.com/lib/cam/detail.action?docID=4012076</t>
  </si>
  <si>
    <t>Unmaking the Making of Americans : Toward an Aesthetic Ontology</t>
  </si>
  <si>
    <t>PS3537.T323 .M333 2018</t>
  </si>
  <si>
    <t>https://ebookcentral.proquest.com/lib/cam/detail.action?docID=5240519</t>
  </si>
  <si>
    <t>Found in Translation : Essays on Jewish Biblical Translation in Honor of Leonard J. Greenspoon</t>
  </si>
  <si>
    <t>BS1132 .F686 2018</t>
  </si>
  <si>
    <t>https://ebookcentral.proquest.com/lib/cam/detail.action?docID=5451394</t>
  </si>
  <si>
    <t>The Private Side of the Canton Trade, 1700-1840 : Beyond the Companies</t>
  </si>
  <si>
    <t>DS736 .P758 2018</t>
  </si>
  <si>
    <t>https://ebookcentral.proquest.com/lib/cam/detail.action?docID=5493373</t>
  </si>
  <si>
    <t>Impossible Exodus : Iraqi Jews in Israel</t>
  </si>
  <si>
    <t>https://ebookcentral.proquest.com/lib/cam/detail.action?docID=4983440</t>
  </si>
  <si>
    <t>Publisher for the Masses, Emanuel Haldeman-Julius</t>
  </si>
  <si>
    <t>UNP - Bison Books</t>
  </si>
  <si>
    <t>Z473.H15 .L44 2017</t>
  </si>
  <si>
    <t>https://ebookcentral.proquest.com/lib/cam/detail.action?docID=5184989</t>
  </si>
  <si>
    <t>Facing Death : Confronting Mortality in the Holocaust and Ourselves</t>
  </si>
  <si>
    <t>https://ebookcentral.proquest.com/lib/cam/detail.action?docID=4858185</t>
  </si>
  <si>
    <t>Transnational Actors in War and Peace : Militants, Activists, and Corporations in World Politics</t>
  </si>
  <si>
    <t>JZ1320.T717 2017</t>
  </si>
  <si>
    <t>https://ebookcentral.proquest.com/lib/cam/detail.action?docID=4861093</t>
  </si>
  <si>
    <t>According to the Law : Reading Ezra 9-10 as Christian Scripture</t>
  </si>
  <si>
    <t>BS1355.52 -- .S29 2012eb</t>
  </si>
  <si>
    <t>https://ebookcentral.proquest.com/lib/cam/detail.action?docID=3155661</t>
  </si>
  <si>
    <t>The Yield : Kafka's Atheological Reformation</t>
  </si>
  <si>
    <t>833/.912</t>
  </si>
  <si>
    <t>https://ebookcentral.proquest.com/lib/cam/detail.action?docID=4414746</t>
  </si>
  <si>
    <t>DiáLogos Series : Native Brazil: Beyond the Convert and the Cannibal, 1500-1900</t>
  </si>
  <si>
    <t>F2519.N385 2014eb</t>
  </si>
  <si>
    <t>https://ebookcentral.proquest.com/lib/cam/detail.action?docID=1598412</t>
  </si>
  <si>
    <t>Flannery o'Connor and Robert Giroux : A Publishing Partnership</t>
  </si>
  <si>
    <t>PS3565.C57 .S269 2018</t>
  </si>
  <si>
    <t>https://ebookcentral.proquest.com/lib/cam/detail.action?docID=5323538</t>
  </si>
  <si>
    <t>Tensions in the American Dream : Rhetoric, Reverie, or Reality</t>
  </si>
  <si>
    <t>HN90</t>
  </si>
  <si>
    <t>https://ebookcentral.proquest.com/lib/cam/detail.action?docID=1920170</t>
  </si>
  <si>
    <t>Recovering Armenia : The Limits of Belonging in Post-Genocide Turkey</t>
  </si>
  <si>
    <t>956.6/202</t>
  </si>
  <si>
    <t>DR435</t>
  </si>
  <si>
    <t>https://ebookcentral.proquest.com/lib/cam/detail.action?docID=4414765</t>
  </si>
  <si>
    <t>A Bloody and Barbarous God</t>
  </si>
  <si>
    <t>PS3563.C337Z775 2016</t>
  </si>
  <si>
    <t>https://ebookcentral.proquest.com/lib/cam/detail.action?docID=4461668</t>
  </si>
  <si>
    <t>The Romanian Orthodox Church and the Holocaust</t>
  </si>
  <si>
    <t>281.9/498</t>
  </si>
  <si>
    <t>BX693 .P67 2017</t>
  </si>
  <si>
    <t>https://ebookcentral.proquest.com/lib/cam/detail.action?docID=5108584</t>
  </si>
  <si>
    <t>George Saunders : Critical Essays</t>
  </si>
  <si>
    <t>https://ebookcentral.proquest.com/lib/cam/detail.action?docID=4830524</t>
  </si>
  <si>
    <t>Toward a Female Genealogy of Transcendentalism</t>
  </si>
  <si>
    <t>810.9/384</t>
  </si>
  <si>
    <t>PS217.T7 -- .T69 2014eb</t>
  </si>
  <si>
    <t>https://ebookcentral.proquest.com/lib/cam/detail.action?docID=1758434</t>
  </si>
  <si>
    <t>Cinders</t>
  </si>
  <si>
    <t>P304 -- .D4713 2014eb</t>
  </si>
  <si>
    <t>https://ebookcentral.proquest.com/lib/cam/detail.action?docID=4391643</t>
  </si>
  <si>
    <t>Songs for Relinquishing the Earth</t>
  </si>
  <si>
    <t>PR9199.3.Z95 .Z853 1998</t>
  </si>
  <si>
    <t>https://ebookcentral.proquest.com/lib/cam/detail.action?docID=5193925</t>
  </si>
  <si>
    <t>Imprints : The Pokagon Band of Potawatomi Indians and the City of Chicago</t>
  </si>
  <si>
    <t>https://ebookcentral.proquest.com/lib/cam/detail.action?docID=4413808</t>
  </si>
  <si>
    <t>Radical Arab Nationalism and Political Islam</t>
  </si>
  <si>
    <t>DS63.6.A335 2017</t>
  </si>
  <si>
    <t>https://ebookcentral.proquest.com/lib/cam/detail.action?docID=4910874</t>
  </si>
  <si>
    <t>Entrepreneurship in Africa : A Historical Approach</t>
  </si>
  <si>
    <t>HD2346.A55 .O246 2018</t>
  </si>
  <si>
    <t>https://ebookcentral.proquest.com/lib/cam/detail.action?docID=5317435</t>
  </si>
  <si>
    <t>The Pull of Politics : Steinbeck, Wright, Hemingway, and the Left in the Late 1930s</t>
  </si>
  <si>
    <t>813/.5209358</t>
  </si>
  <si>
    <t>https://ebookcentral.proquest.com/lib/cam/detail.action?docID=5483750</t>
  </si>
  <si>
    <t>The Return of the Neighborhood As an Urban Strategy</t>
  </si>
  <si>
    <t>HT123</t>
  </si>
  <si>
    <t>https://ebookcentral.proquest.com/lib/cam/detail.action?docID=4306063</t>
  </si>
  <si>
    <t>Daughters of 1968 : Redefining French Feminism and the Women's Liberation Movement</t>
  </si>
  <si>
    <t>Political Science; History; Social Science</t>
  </si>
  <si>
    <t>https://ebookcentral.proquest.com/lib/cam/detail.action?docID=5608286</t>
  </si>
  <si>
    <t>Socialist Churches : Radical Secularization and the Preservation of the Past in Petrograd and Leningrad, 1918–1988</t>
  </si>
  <si>
    <t>Political Science; Religion</t>
  </si>
  <si>
    <t>322/.109470904</t>
  </si>
  <si>
    <t>BL2765.S65.K425 2016</t>
  </si>
  <si>
    <t>https://ebookcentral.proquest.com/lib/cam/detail.action?docID=4745800</t>
  </si>
  <si>
    <t>Politics of Urban Water : Changing Waterscapes in Amsterdam</t>
  </si>
  <si>
    <t>307.3/41609492352</t>
  </si>
  <si>
    <t>HT178.N42 -- .K563 2015eb</t>
  </si>
  <si>
    <t>https://ebookcentral.proquest.com/lib/cam/detail.action?docID=2008641</t>
  </si>
  <si>
    <t>The Mediating Nation : Late American Realism, Globalization, and the Progressive State</t>
  </si>
  <si>
    <t>810.9/12</t>
  </si>
  <si>
    <t>PS228.R38.C33 2014eb</t>
  </si>
  <si>
    <t>https://ebookcentral.proquest.com/lib/cam/detail.action?docID=1775391</t>
  </si>
  <si>
    <t>Governing Practices : Neoliberalism, Governmentality, and the Ethnographic Imaginary</t>
  </si>
  <si>
    <t>Business/Management; Political Science</t>
  </si>
  <si>
    <t>HB95.G684 2016</t>
  </si>
  <si>
    <t>https://ebookcentral.proquest.com/lib/cam/detail.action?docID=4699952</t>
  </si>
  <si>
    <t>A Communication Perspective on Interfaith Dialogue : Living Within the Abrahamic Traditions</t>
  </si>
  <si>
    <t>BL410 -- .B755 2013eb</t>
  </si>
  <si>
    <t>https://ebookcentral.proquest.com/lib/cam/detail.action?docID=1153797</t>
  </si>
  <si>
    <t>Building a Sacred Mountain : The Buddhist Architecture of China's Mount Wutai</t>
  </si>
  <si>
    <t>AHPCPB</t>
  </si>
  <si>
    <t>https://ebookcentral.proquest.com/lib/cam/detail.action?docID=3444583</t>
  </si>
  <si>
    <t>Italy and the Environmental Humanities : Landscapes, Natures, Ecologies</t>
  </si>
  <si>
    <t>GE160.I8 .I835 2018</t>
  </si>
  <si>
    <t>https://ebookcentral.proquest.com/lib/cam/detail.action?docID=5328410</t>
  </si>
  <si>
    <t>Embracing Epistemic Humility : Confronting Triumphalism in Three Abrahamic Religions</t>
  </si>
  <si>
    <t>BL80.3 -- .B67 2013eb</t>
  </si>
  <si>
    <t>https://ebookcentral.proquest.com/lib/cam/detail.action?docID=1219535</t>
  </si>
  <si>
    <t>Learning from the Wounded : The Civil War and the Rise of American Medical Science</t>
  </si>
  <si>
    <t>R151.D485 2014eb</t>
  </si>
  <si>
    <t>https://ebookcentral.proquest.com/lib/cam/detail.action?docID=1656085</t>
  </si>
  <si>
    <t>Populism Now!</t>
  </si>
  <si>
    <t>JC423 .M356 2018</t>
  </si>
  <si>
    <t>https://ebookcentral.proquest.com/lib/cam/detail.action?docID=5348393</t>
  </si>
  <si>
    <t>Modernist Soundscapes : Auditory Technology and the Novel</t>
  </si>
  <si>
    <t>PN56.T37 F73 2018</t>
  </si>
  <si>
    <t>https://ebookcentral.proquest.com/lib/cam/detail.action?docID=5579885</t>
  </si>
  <si>
    <t>Modern Architecture in Mexico City : History, Representation, and the Shaping of a Capital</t>
  </si>
  <si>
    <t>720.972/530904</t>
  </si>
  <si>
    <t>NA757</t>
  </si>
  <si>
    <t>https://ebookcentral.proquest.com/lib/cam/detail.action?docID=4796309</t>
  </si>
  <si>
    <t>Songs and Politics in Eastern Africa</t>
  </si>
  <si>
    <t>ML3760.1 -- .S65 2007eb</t>
  </si>
  <si>
    <t>https://ebookcentral.proquest.com/lib/cam/detail.action?docID=1134960</t>
  </si>
  <si>
    <t>Heritage at the Interface : Interpretation and Identity</t>
  </si>
  <si>
    <t>HM487 .H47</t>
  </si>
  <si>
    <t>https://ebookcentral.proquest.com/lib/cam/detail.action?docID=5188186</t>
  </si>
  <si>
    <t>The Education of Kim Jong-Un</t>
  </si>
  <si>
    <t>https://ebookcentral.proquest.com/lib/cam/detail.action?docID=5253425</t>
  </si>
  <si>
    <t>Mapping Region in Early American Writing</t>
  </si>
  <si>
    <t>PS186 -- .M28 2015eb</t>
  </si>
  <si>
    <t>https://ebookcentral.proquest.com/lib/cam/detail.action?docID=4397160</t>
  </si>
  <si>
    <t>Lucretia Mott Speaks : The Essential Speeches and Sermons</t>
  </si>
  <si>
    <t>303.48/4092</t>
  </si>
  <si>
    <t>BX7733</t>
  </si>
  <si>
    <t>https://ebookcentral.proquest.com/lib/cam/detail.action?docID=4983597</t>
  </si>
  <si>
    <t>An Einstein Encyclopedia</t>
  </si>
  <si>
    <t>QC16.E5 -- .C343 2015eb</t>
  </si>
  <si>
    <t>https://ebookcentral.proquest.com/lib/cam/detail.action?docID=4012402</t>
  </si>
  <si>
    <t>Foucault on Painting</t>
  </si>
  <si>
    <t>B2430.F724 .S687 2017</t>
  </si>
  <si>
    <t>https://ebookcentral.proquest.com/lib/cam/detail.action?docID=5161250</t>
  </si>
  <si>
    <t>Dream Machine : Realism and Fantasy in Hindi Cinema</t>
  </si>
  <si>
    <t>https://ebookcentral.proquest.com/lib/cam/detail.action?docID=2122532</t>
  </si>
  <si>
    <t>Harambee City : The Congress of Racial Equality in Cleveland and the Rise of Black Power Populism</t>
  </si>
  <si>
    <t>F499</t>
  </si>
  <si>
    <t>https://ebookcentral.proquest.com/lib/cam/detail.action?docID=4806486</t>
  </si>
  <si>
    <t>The Politics of Female Alliance in Early Modern England</t>
  </si>
  <si>
    <t>820.9/928709031</t>
  </si>
  <si>
    <t>PR428.W63.P65 2017</t>
  </si>
  <si>
    <t>https://ebookcentral.proquest.com/lib/cam/detail.action?docID=5109877</t>
  </si>
  <si>
    <t>Architectures of Revolt : The Cinematic City Circa 1968</t>
  </si>
  <si>
    <t>https://ebookcentral.proquest.com/lib/cam/detail.action?docID=5397976</t>
  </si>
  <si>
    <t>More Than Shelter : Activism and Community in San Francisco Public Housing</t>
  </si>
  <si>
    <t>363.5/850979461</t>
  </si>
  <si>
    <t>HD7288.78.U52 -- .H693 2014eb</t>
  </si>
  <si>
    <t>https://ebookcentral.proquest.com/lib/cam/detail.action?docID=3039188</t>
  </si>
  <si>
    <t>Diaboliques : Six Tales of Decadence</t>
  </si>
  <si>
    <t>PQ2189.B32 -- .B373 2015eb</t>
  </si>
  <si>
    <t>https://ebookcentral.proquest.com/lib/cam/detail.action?docID=4391787</t>
  </si>
  <si>
    <t>Punishing the Black Body : Marking Social and Racial Structures in Barbados and Jamaica</t>
  </si>
  <si>
    <t>HV5699.B37.H377 2017</t>
  </si>
  <si>
    <t>https://ebookcentral.proquest.com/lib/cam/detail.action?docID=5144000</t>
  </si>
  <si>
    <t>Reformation Readings of Paul : Explorations in History and Exegesis</t>
  </si>
  <si>
    <t>227/.0609</t>
  </si>
  <si>
    <t>BS2650.52.R43 2015</t>
  </si>
  <si>
    <t>https://ebookcentral.proquest.com/lib/cam/detail.action?docID=4081795</t>
  </si>
  <si>
    <t>Policing Los Angeles : Race, Resistance, and the Rise of the LAPD</t>
  </si>
  <si>
    <t>363.209794/9409045</t>
  </si>
  <si>
    <t>HV8148.L55 .F455 2018</t>
  </si>
  <si>
    <t>https://ebookcentral.proquest.com/lib/cam/detail.action?docID=5525671</t>
  </si>
  <si>
    <t>Reconsidering Southern Labor History : Race, Class, and Power</t>
  </si>
  <si>
    <t>HD8083.S9 R43 2018</t>
  </si>
  <si>
    <t>https://ebookcentral.proquest.com/lib/cam/detail.action?docID=5430276</t>
  </si>
  <si>
    <t>Loving Nature, Fearing the State : Environmentalism and Antigovernment Politics Before Reagan</t>
  </si>
  <si>
    <t>Economics; Environmental Studies</t>
  </si>
  <si>
    <t>https://ebookcentral.proquest.com/lib/cam/detail.action?docID=3444556</t>
  </si>
  <si>
    <t>Jacob and the Divine Trickster : A Theology of Deception and Yhwh’s Fidelity to the Ancestral Promise in the Jacob Cycle</t>
  </si>
  <si>
    <t>BS1238.D42 -- A53 2011eb</t>
  </si>
  <si>
    <t>https://ebookcentral.proquest.com/lib/cam/detail.action?docID=3155626</t>
  </si>
  <si>
    <t>The Critical Imagination in African Literature : Essays in Honor of Michael J. C. Echeruo</t>
  </si>
  <si>
    <t>820.9/96</t>
  </si>
  <si>
    <t>PR9340.C745 2015</t>
  </si>
  <si>
    <t>https://ebookcentral.proquest.com/lib/cam/detail.action?docID=3440562</t>
  </si>
  <si>
    <t>Public Privates : Feminist Geographies of Mediated Spaces</t>
  </si>
  <si>
    <t>HQ1233 .E545 2018</t>
  </si>
  <si>
    <t>https://ebookcentral.proquest.com/lib/cam/detail.action?docID=5330756</t>
  </si>
  <si>
    <t>Day the Country Died : A History of Anarcho Punk 19801984</t>
  </si>
  <si>
    <t>PM Press</t>
  </si>
  <si>
    <t>HQ799.G7 -- .G537 2014eb</t>
  </si>
  <si>
    <t>https://ebookcentral.proquest.com/lib/cam/detail.action?docID=1692044</t>
  </si>
  <si>
    <t>Choosing the Jesus Way : American Indian Pentecostals and the Fight for the Indigenous Principle</t>
  </si>
  <si>
    <t>E98.M6 -- .T27 2014eb</t>
  </si>
  <si>
    <t>https://ebookcentral.proquest.com/lib/cam/detail.action?docID=1675887</t>
  </si>
  <si>
    <t>Echoes of Emerson : Rethinking Realism in Twain, James, Wharton, and Cather</t>
  </si>
  <si>
    <t>https://ebookcentral.proquest.com/lib/cam/detail.action?docID=5087798</t>
  </si>
  <si>
    <t>Cinema's Bodily Illusions : Flying, Floating, and Hallucinating</t>
  </si>
  <si>
    <t>PN1995.R534 2016</t>
  </si>
  <si>
    <t>https://ebookcentral.proquest.com/lib/cam/detail.action?docID=4525959</t>
  </si>
  <si>
    <t>Tense-Aspect-Modality in a Second Language : Contemporary perspectives</t>
  </si>
  <si>
    <t>415/.6</t>
  </si>
  <si>
    <t>P53.T388 2017</t>
  </si>
  <si>
    <t>https://ebookcentral.proquest.com/lib/cam/detail.action?docID=4794562</t>
  </si>
  <si>
    <t>Abortion after Roe : Abortion after Legalization</t>
  </si>
  <si>
    <t>362.1988/80973</t>
  </si>
  <si>
    <t>HQ767.5.U5S36 2015</t>
  </si>
  <si>
    <t>https://ebookcentral.proquest.com/lib/cam/detail.action?docID=4322240</t>
  </si>
  <si>
    <t>Clavichord for Beginners</t>
  </si>
  <si>
    <t>786.3/193</t>
  </si>
  <si>
    <t>MT252.B46 2014eb</t>
  </si>
  <si>
    <t>https://ebookcentral.proquest.com/lib/cam/detail.action?docID=1672950</t>
  </si>
  <si>
    <t>Civic Labors : Scholar Activism and Working-Class Studies</t>
  </si>
  <si>
    <t>305.5/620973</t>
  </si>
  <si>
    <t>HD4824</t>
  </si>
  <si>
    <t>https://ebookcentral.proquest.com/lib/cam/detail.action?docID=4792700</t>
  </si>
  <si>
    <t>The Voyage of the Slave Ship Hare : A Journey into Captivity from Sierra Leone to South Carolina</t>
  </si>
  <si>
    <t>306.3/620975709033</t>
  </si>
  <si>
    <t>E445.S7K45 2016</t>
  </si>
  <si>
    <t>https://ebookcentral.proquest.com/lib/cam/detail.action?docID=4443602</t>
  </si>
  <si>
    <t>Economic Ideas You Should Forget</t>
  </si>
  <si>
    <t>Science; Economics</t>
  </si>
  <si>
    <t>https://ebookcentral.proquest.com/lib/cam/detail.action?docID=4821289</t>
  </si>
  <si>
    <t>Racism in American Popular Media : From Aunt Jemima to the Frito Bandito</t>
  </si>
  <si>
    <t>P94.5.M552U625 2015</t>
  </si>
  <si>
    <t>https://ebookcentral.proquest.com/lib/cam/detail.action?docID=1981060</t>
  </si>
  <si>
    <t>Walt Whitman's Selected Journalism</t>
  </si>
  <si>
    <t>818/.308</t>
  </si>
  <si>
    <t>PS3203</t>
  </si>
  <si>
    <t>https://ebookcentral.proquest.com/lib/cam/detail.action?docID=2010567</t>
  </si>
  <si>
    <t>Democracy and the American Civil War : Race and African Americans in the Nineteenth Century</t>
  </si>
  <si>
    <t>E540.N3.D46 2016</t>
  </si>
  <si>
    <t>https://ebookcentral.proquest.com/lib/cam/detail.action?docID=4717669</t>
  </si>
  <si>
    <t>Race and Nation in the Age of Emancipations</t>
  </si>
  <si>
    <t>JC596 .R334 2018</t>
  </si>
  <si>
    <t>https://ebookcentral.proquest.com/lib/cam/detail.action?docID=5341483</t>
  </si>
  <si>
    <t>The African Conundrum : Rethinking the Trajectories of Historical, Cultural, Philosophical and Developmental Experiences of Africa</t>
  </si>
  <si>
    <t>DT14.A375 2017</t>
  </si>
  <si>
    <t>https://ebookcentral.proquest.com/lib/cam/detail.action?docID=4983529</t>
  </si>
  <si>
    <t>Archiving the Unspeakable : Silence, Memory, and the Photographic Record in Cambodia</t>
  </si>
  <si>
    <t>https://ebookcentral.proquest.com/lib/cam/detail.action?docID=3445385</t>
  </si>
  <si>
    <t>Anarchism in Korea : Independence, Transnationalism, and the Question of National Development, 1919-1984</t>
  </si>
  <si>
    <t>335/.83095190904</t>
  </si>
  <si>
    <t>HX948.H83 2016</t>
  </si>
  <si>
    <t>https://ebookcentral.proquest.com/lib/cam/detail.action?docID=4710101</t>
  </si>
  <si>
    <t>The Loyal Republic : Traitors, Slaves, and the Remaking of Citizenship in Civil War America</t>
  </si>
  <si>
    <t>JK1759 .M384 2018</t>
  </si>
  <si>
    <t>https://ebookcentral.proquest.com/lib/cam/detail.action?docID=5322088</t>
  </si>
  <si>
    <t>Black Women in Politics : Demanding Citizenship, Challenging Power, and Seeking Justice</t>
  </si>
  <si>
    <t>305.48/896073</t>
  </si>
  <si>
    <t>HQ1236 .B533 2018</t>
  </si>
  <si>
    <t>https://ebookcentral.proquest.com/lib/cam/detail.action?docID=5515187</t>
  </si>
  <si>
    <t>Japanese Prostitutes in the North American West, 1887-1920</t>
  </si>
  <si>
    <t>HQ145.A17</t>
  </si>
  <si>
    <t>https://ebookcentral.proquest.com/lib/cam/detail.action?docID=4635842</t>
  </si>
  <si>
    <t>History on the Margins : People and Places in the Emergence of Modern France</t>
  </si>
  <si>
    <t>DC251 .M477 2018</t>
  </si>
  <si>
    <t>https://ebookcentral.proquest.com/lib/cam/detail.action?docID=5553201</t>
  </si>
  <si>
    <t>India Transformed : Twenty-Five Years of Economic Reforms</t>
  </si>
  <si>
    <t>HC435.3 .I535 2018</t>
  </si>
  <si>
    <t>https://ebookcentral.proquest.com/lib/cam/detail.action?docID=5255115</t>
  </si>
  <si>
    <t>The New Autocracy : Information, Politics, and Policy in Putin's Russia</t>
  </si>
  <si>
    <t>DK510.766.P87 .N49 2018</t>
  </si>
  <si>
    <t>https://ebookcentral.proquest.com/lib/cam/detail.action?docID=5179995</t>
  </si>
  <si>
    <t>The Ethnic Project : Transforming Racial Fiction into Ethnic Factions</t>
  </si>
  <si>
    <t>https://ebookcentral.proquest.com/lib/cam/detail.action?docID=1324242</t>
  </si>
  <si>
    <t>The Art of Gratitude</t>
  </si>
  <si>
    <t>BJ1533.G8 .E544 2018</t>
  </si>
  <si>
    <t>https://ebookcentral.proquest.com/lib/cam/detail.action?docID=5359266</t>
  </si>
  <si>
    <t>Staging Revolution : Artistry and Aesthetics in Model Beijing Opera during the Cultural Revolution</t>
  </si>
  <si>
    <t>ML1751.C4 .F36 2018</t>
  </si>
  <si>
    <t>https://ebookcentral.proquest.com/lib/cam/detail.action?docID=5343635</t>
  </si>
  <si>
    <t>The Crisis of Multiculturalism in Latin America</t>
  </si>
  <si>
    <t>https://ebookcentral.proquest.com/lib/cam/detail.action?docID=4716684</t>
  </si>
  <si>
    <t>Globalization and India's Economic Integration</t>
  </si>
  <si>
    <t>HC435.3 -- .N393 2014eb</t>
  </si>
  <si>
    <t>https://ebookcentral.proquest.com/lib/cam/detail.action?docID=1825923</t>
  </si>
  <si>
    <t>The Anthropology of Marriage in Lowland South America : Bending and Breaking the Rules</t>
  </si>
  <si>
    <t>F2230.1.M28.A67 2017eb</t>
  </si>
  <si>
    <t>https://ebookcentral.proquest.com/lib/cam/detail.action?docID=4843066</t>
  </si>
  <si>
    <t>Radical Intellect : Liberator Magazine and Black Activism in The 1960s</t>
  </si>
  <si>
    <t>E185.615.T567 2017</t>
  </si>
  <si>
    <t>https://ebookcentral.proquest.com/lib/cam/detail.action?docID=5045634</t>
  </si>
  <si>
    <t>Corporeality in Early Cinema : Viscera, Skin, and Physical Form</t>
  </si>
  <si>
    <t>PN1995.9.B62 .C677 2018</t>
  </si>
  <si>
    <t>https://ebookcentral.proquest.com/lib/cam/detail.action?docID=5559737</t>
  </si>
  <si>
    <t>After Aquarius Dawned : How the Revolutions of the Sixties Became the Popular Culture of the Seventies</t>
  </si>
  <si>
    <t>E839.K88 2017</t>
  </si>
  <si>
    <t>https://ebookcentral.proquest.com/lib/cam/detail.action?docID=4825783</t>
  </si>
  <si>
    <t>Locating Hybridity : Creole, Identities and Body Politics in the Novels of Ananda Devi</t>
  </si>
  <si>
    <t>PQ3989.2.N547 -- .K578 2015eb</t>
  </si>
  <si>
    <t>https://ebookcentral.proquest.com/lib/cam/detail.action?docID=1888983</t>
  </si>
  <si>
    <t>A Generation of Revolutionaries : Nikolai Charushin and Russian Populism from the Great Reforms to Perestroika</t>
  </si>
  <si>
    <t>947.084/1092 B</t>
  </si>
  <si>
    <t>DK254.C513.E356 2017</t>
  </si>
  <si>
    <t>https://ebookcentral.proquest.com/lib/cam/detail.action?docID=5110001</t>
  </si>
  <si>
    <t>Feminist and Human Rights Struggles in Peru : Decolonizing Transitional Justice</t>
  </si>
  <si>
    <t>323.3/40985</t>
  </si>
  <si>
    <t>https://ebookcentral.proquest.com/lib/cam/detail.action?docID=3440684</t>
  </si>
  <si>
    <t>Learning and Teaching British Values : Policies and Perspectives on British Identities</t>
  </si>
  <si>
    <t>https://ebookcentral.proquest.com/lib/cam/detail.action?docID=5015817</t>
  </si>
  <si>
    <t>Rural China on the Eve of Revolution : Sichuan Fieldnotes, 1949-1950</t>
  </si>
  <si>
    <t>HN740.S54.S556 2017</t>
  </si>
  <si>
    <t>https://ebookcentral.proquest.com/lib/cam/detail.action?docID=4858182</t>
  </si>
  <si>
    <t>Second Person Singular : Late Victorian Women Poets and the Bonds of Verse</t>
  </si>
  <si>
    <t>821/.8099287</t>
  </si>
  <si>
    <t>PR595.W6 -- .H37 2014eb</t>
  </si>
  <si>
    <t>https://ebookcentral.proquest.com/lib/cam/detail.action?docID=3444179</t>
  </si>
  <si>
    <t>Iron, Persian, and Hellenistic Occupation within the Walls at Tell Halif : Excavations in Field II: 1977-1980</t>
  </si>
  <si>
    <t>933/.49</t>
  </si>
  <si>
    <t>DS110.H285 -- .C654 2015eb</t>
  </si>
  <si>
    <t>https://ebookcentral.proquest.com/lib/cam/detail.action?docID=3155732</t>
  </si>
  <si>
    <t>Lahav II : Households and the Use of Domestic Space at Iron II Tell Halif : An Archaeology of Destruction</t>
  </si>
  <si>
    <t>DS110.H285 -- H37 2010eb</t>
  </si>
  <si>
    <t>https://ebookcentral.proquest.com/lib/cam/detail.action?docID=3155602</t>
  </si>
  <si>
    <t>Black Power and Palestine : Transnational Countries of Color</t>
  </si>
  <si>
    <t>E185.61 .F573 2019</t>
  </si>
  <si>
    <t>https://ebookcentral.proquest.com/lib/cam/detail.action?docID=5529470</t>
  </si>
  <si>
    <t>Affirmation of Poetry</t>
  </si>
  <si>
    <t>PN1043 -- .B2813 2014eb</t>
  </si>
  <si>
    <t>https://ebookcentral.proquest.com/lib/cam/detail.action?docID=4460108</t>
  </si>
  <si>
    <t>The Three Graces of Val-Kill : Eleanor Roosevelt, Marion Dickerman, and Nancy Cook in the Place They Made Their Own</t>
  </si>
  <si>
    <t>E807.1.R48.W557 2017</t>
  </si>
  <si>
    <t>https://ebookcentral.proquest.com/lib/cam/detail.action?docID=4983476</t>
  </si>
  <si>
    <t>Ships of the Desert and Ships of the Sea : Palmyra in the World Trade of the First Three Centuries CE</t>
  </si>
  <si>
    <t>HF1379.S453 2016</t>
  </si>
  <si>
    <t>https://ebookcentral.proquest.com/lib/cam/detail.action?docID=4776719</t>
  </si>
  <si>
    <t>Susan Sontag : The Making of an Icon, Revised and Updated</t>
  </si>
  <si>
    <t>B</t>
  </si>
  <si>
    <t>PS3569.O6547.R655 2016</t>
  </si>
  <si>
    <t>https://ebookcentral.proquest.com/lib/cam/detail.action?docID=4676900</t>
  </si>
  <si>
    <t>Brechtian Cinemas : Montage and Theatricality in Jean-Marie Straub and Daniele Huillet, Peter Watkins, and Lars Von Trier</t>
  </si>
  <si>
    <t>832/.912</t>
  </si>
  <si>
    <t>PT2603.R397.J683 2017</t>
  </si>
  <si>
    <t>https://ebookcentral.proquest.com/lib/cam/detail.action?docID=4796331</t>
  </si>
  <si>
    <t>Not My Mother's Sister : Generational Conflict and Third-Wave Feminism</t>
  </si>
  <si>
    <t>HQ1421 -- .H43 2004eb</t>
  </si>
  <si>
    <t>https://ebookcentral.proquest.com/lib/cam/detail.action?docID=258115</t>
  </si>
  <si>
    <t>The Fabric of Peace in Africa : Looking Beyond the State</t>
  </si>
  <si>
    <t>Centre for International Governance Innovation</t>
  </si>
  <si>
    <t>327.1/72096</t>
  </si>
  <si>
    <t>JZ5584.A35.F337 2017</t>
  </si>
  <si>
    <t>https://ebookcentral.proquest.com/lib/cam/detail.action?docID=4851672</t>
  </si>
  <si>
    <t>Roberto Esposito : Biopolitics and Philosophy</t>
  </si>
  <si>
    <t>JA80 .R638 2018</t>
  </si>
  <si>
    <t>https://ebookcentral.proquest.com/lib/cam/detail.action?docID=5435820</t>
  </si>
  <si>
    <t>America, Britain and Pakistan's Nuclear Weapons Programme, 1974-1980 : A Dream of Nightmare Proportions</t>
  </si>
  <si>
    <t>https://ebookcentral.proquest.com/lib/cam/detail.action?docID=4887254</t>
  </si>
  <si>
    <t>James Madison : A Son of Virginia and a Founder of the Nation</t>
  </si>
  <si>
    <t>E342 -- .B763 2012eb</t>
  </si>
  <si>
    <t>https://ebookcentral.proquest.com/lib/cam/detail.action?docID=4321968</t>
  </si>
  <si>
    <t>A People's History of the American Revolution : How Common People Shaped the Fight for Independence</t>
  </si>
  <si>
    <t>New Press, The</t>
  </si>
  <si>
    <t>E208</t>
  </si>
  <si>
    <t>https://ebookcentral.proquest.com/lib/cam/detail.action?docID=4547924</t>
  </si>
  <si>
    <t>Immanent Frames : Postsecular Cinema Between Malick and Von Trier</t>
  </si>
  <si>
    <t>791.43/682</t>
  </si>
  <si>
    <t>PN1995.9.R4I66 2018</t>
  </si>
  <si>
    <t>https://ebookcentral.proquest.com/lib/cam/detail.action?docID=5407069</t>
  </si>
  <si>
    <t>Reading the Wampum : Essays on Hodinöhsö:ni' Visual Code and Epistemological Recovery</t>
  </si>
  <si>
    <t>PS153.I52K45 2014</t>
  </si>
  <si>
    <t>https://ebookcentral.proquest.com/lib/cam/detail.action?docID=4649143</t>
  </si>
  <si>
    <t>God and Evolution : Fundamental Questions of Christian Evolutionism</t>
  </si>
  <si>
    <t>231.7/652</t>
  </si>
  <si>
    <t>BL263</t>
  </si>
  <si>
    <t>https://ebookcentral.proquest.com/lib/cam/detail.action?docID=3134769</t>
  </si>
  <si>
    <t>Eugenic Feminism : Reproductive Nationalism in the United States and India</t>
  </si>
  <si>
    <t>HQ1742 -- .N32 2014eb</t>
  </si>
  <si>
    <t>https://ebookcentral.proquest.com/lib/cam/detail.action?docID=1693974</t>
  </si>
  <si>
    <t>Bamako Sounds : The Afropolitan Ethics of Malian Music</t>
  </si>
  <si>
    <t>ML3917 .M35 S55 2015</t>
  </si>
  <si>
    <t>https://ebookcentral.proquest.com/lib/cam/detail.action?docID=2051598</t>
  </si>
  <si>
    <t>Spike Lee</t>
  </si>
  <si>
    <t>https://ebookcentral.proquest.com/lib/cam/detail.action?docID=3414377</t>
  </si>
  <si>
    <t>Narrating Social Work Through Autoethnography</t>
  </si>
  <si>
    <t>HV11.2 -- .N37 2014eb</t>
  </si>
  <si>
    <t>https://ebookcentral.proquest.com/lib/cam/detail.action?docID=1684955</t>
  </si>
  <si>
    <t>Black Male Frames : African Americans in a Century of Hollywood Cinema, 1903-2003</t>
  </si>
  <si>
    <t>791.43089/96073</t>
  </si>
  <si>
    <t>PN1995.9.N4</t>
  </si>
  <si>
    <t>https://ebookcentral.proquest.com/lib/cam/detail.action?docID=4649095</t>
  </si>
  <si>
    <t>Guardians of Idolatry : Gods, Demons, and Priests in Hernando Ruiz de Alarcón's Treatise on the Heathen Superstitions</t>
  </si>
  <si>
    <t>F1219.76.R45 .D538 2018</t>
  </si>
  <si>
    <t>https://ebookcentral.proquest.com/lib/cam/detail.action?docID=5568836</t>
  </si>
  <si>
    <t>Biblical Theology : The God of the Christian Scriptures</t>
  </si>
  <si>
    <t>BS544.G653 2016</t>
  </si>
  <si>
    <t>https://ebookcentral.proquest.com/lib/cam/detail.action?docID=4713566</t>
  </si>
  <si>
    <t>Just War and Human Rights : Fighting with Right Intention</t>
  </si>
  <si>
    <t>Philosophy; Military Science</t>
  </si>
  <si>
    <t>172/.42</t>
  </si>
  <si>
    <t>U22.B875 2017eb</t>
  </si>
  <si>
    <t>https://ebookcentral.proquest.com/lib/cam/detail.action?docID=4813411</t>
  </si>
  <si>
    <t>Spaces of Capital/Spaces of Resistance : Mexico and the Global Political Economy</t>
  </si>
  <si>
    <t>HC135 .H4534 2017</t>
  </si>
  <si>
    <t>https://ebookcentral.proquest.com/lib/cam/detail.action?docID=5167244</t>
  </si>
  <si>
    <t>Boys’ Love, Cosplay, and Androgynous Idols : Queer Fan Cultures in Mainland China, Hong Kong, and Taiwan</t>
  </si>
  <si>
    <t>HM646.B697 2017</t>
  </si>
  <si>
    <t>https://ebookcentral.proquest.com/lib/cam/detail.action?docID=4913816</t>
  </si>
  <si>
    <t>Creating Identity in the Victorian Fictional Autobiography</t>
  </si>
  <si>
    <t>823/.0820908</t>
  </si>
  <si>
    <t>https://ebookcentral.proquest.com/lib/cam/detail.action?docID=5247040</t>
  </si>
  <si>
    <t>Modern Mexican Culture : Critical Foundations</t>
  </si>
  <si>
    <t>F1236</t>
  </si>
  <si>
    <t>https://ebookcentral.proquest.com/lib/cam/detail.action?docID=4983616</t>
  </si>
  <si>
    <t>Our Enduring Values Revisited : Librarianship in an Ever-Changing World</t>
  </si>
  <si>
    <t>American Library Association</t>
  </si>
  <si>
    <t>Library Science</t>
  </si>
  <si>
    <t>Z716.4 .G673 2015</t>
  </si>
  <si>
    <t>https://ebookcentral.proquest.com/lib/cam/detail.action?docID=2068198</t>
  </si>
  <si>
    <t>Igbo in the Atlantic World : African Origins and Diasporic Destinations</t>
  </si>
  <si>
    <t>DT515.45.I33.I4235 2016</t>
  </si>
  <si>
    <t>https://ebookcentral.proquest.com/lib/cam/detail.action?docID=4709293</t>
  </si>
  <si>
    <t>Bioarchaeology of Pre-Columbian Mesoamerica : An Interdisciplinary Approach</t>
  </si>
  <si>
    <t>F1219 .B595 2018</t>
  </si>
  <si>
    <t>https://ebookcentral.proquest.com/lib/cam/detail.action?docID=5509973</t>
  </si>
  <si>
    <t>Plato's Statesman : Dialectic, Myth, and Politics</t>
  </si>
  <si>
    <t>JC71.P314.P53 2017</t>
  </si>
  <si>
    <t>https://ebookcentral.proquest.com/lib/cam/detail.action?docID=4751243</t>
  </si>
  <si>
    <t>Recomposing Ecopoetics : North American Poetry of the Self-Conscious Anthropocene</t>
  </si>
  <si>
    <t>PN98.E36 .K455 2017</t>
  </si>
  <si>
    <t>https://ebookcentral.proquest.com/lib/cam/detail.action?docID=5553398</t>
  </si>
  <si>
    <t>Dylan on Dylan : Interviews and Encounters</t>
  </si>
  <si>
    <t>ML420.D98 A5 2018</t>
  </si>
  <si>
    <t>https://ebookcentral.proquest.com/lib/cam/detail.action?docID=5088231</t>
  </si>
  <si>
    <t>Spectacular Modernity : Dictatorship, Space, and Visuality in Venezuela, 1948-1958</t>
  </si>
  <si>
    <t>987.06/32</t>
  </si>
  <si>
    <t>F2326</t>
  </si>
  <si>
    <t>https://ebookcentral.proquest.com/lib/cam/detail.action?docID=4923805</t>
  </si>
  <si>
    <t>Playful Memories : The Autofictional Turn in Post-Dictatorship Argentina</t>
  </si>
  <si>
    <t>https://ebookcentral.proquest.com/lib/cam/detail.action?docID=4774142</t>
  </si>
  <si>
    <t>Entangling Migration History : Borderlands and Transnationalism in the United States and Canada</t>
  </si>
  <si>
    <t>304.8/73</t>
  </si>
  <si>
    <t>JV6450 -- .E65 2015eb</t>
  </si>
  <si>
    <t>https://ebookcentral.proquest.com/lib/cam/detail.action?docID=2028302</t>
  </si>
  <si>
    <t>Platonic Mysticism : Contemplative Science, Philosophy, Literature, and Art</t>
  </si>
  <si>
    <t>B395.V477 2018</t>
  </si>
  <si>
    <t>https://ebookcentral.proquest.com/lib/cam/detail.action?docID=4983631</t>
  </si>
  <si>
    <t>A History of the American Theatre from Its Origins To 1832</t>
  </si>
  <si>
    <t>PN2237</t>
  </si>
  <si>
    <t>https://ebookcentral.proquest.com/lib/cam/detail.action?docID=3413948</t>
  </si>
  <si>
    <t>Destructive Creation : American Business and the Winning of World War II</t>
  </si>
  <si>
    <t>D731 -- .W557 2016eb</t>
  </si>
  <si>
    <t>https://ebookcentral.proquest.com/lib/cam/detail.action?docID=4568621</t>
  </si>
  <si>
    <t>Historicizing Humans : Deep Time, Evolution, and Race in Nineteenth-Century British Sciences</t>
  </si>
  <si>
    <t>Science; Social Science; Science: Biology/Natural History</t>
  </si>
  <si>
    <t>GN50</t>
  </si>
  <si>
    <t>https://ebookcentral.proquest.com/lib/cam/detail.action?docID=5399344</t>
  </si>
  <si>
    <t>New Frontiers in the Study of the Global African Diaspora : Between Uncharted Themes and Alternative Representations</t>
  </si>
  <si>
    <t>DT16</t>
  </si>
  <si>
    <t>https://ebookcentral.proquest.com/lib/cam/detail.action?docID=5528432</t>
  </si>
  <si>
    <t>Human Action in Thomas Aquinas, John Duns Scotus, and William of Ockham</t>
  </si>
  <si>
    <t>B738</t>
  </si>
  <si>
    <t>https://ebookcentral.proquest.com/lib/cam/detail.action?docID=3135154</t>
  </si>
  <si>
    <t>Madhouse : Psychiatry and Politics in Cuban History</t>
  </si>
  <si>
    <t>Health; Social Science; Medicine; Psychology</t>
  </si>
  <si>
    <t>362.2/1</t>
  </si>
  <si>
    <t>RC451.C9.L36 2017</t>
  </si>
  <si>
    <t>https://ebookcentral.proquest.com/lib/cam/detail.action?docID=4777286</t>
  </si>
  <si>
    <t>Reading Orientalism : Said and the Unsaid</t>
  </si>
  <si>
    <t>303.48/2182105</t>
  </si>
  <si>
    <t>DS61.85.V375 2017</t>
  </si>
  <si>
    <t>https://ebookcentral.proquest.com/lib/cam/detail.action?docID=4858168</t>
  </si>
  <si>
    <t>Shame and the Aging Woman : Confronting and Resisting Ageism in Contemporary Women's Writings</t>
  </si>
  <si>
    <t>https://ebookcentral.proquest.com/lib/cam/detail.action?docID=4649566</t>
  </si>
  <si>
    <t>A Sip from the Well of Grace : Medieval Texts from the Apostolic Penitentiary</t>
  </si>
  <si>
    <t>BX1862</t>
  </si>
  <si>
    <t>https://ebookcentral.proquest.com/lib/cam/detail.action?docID=3425908</t>
  </si>
  <si>
    <t>Gendertrolling: How Misogyny Went Viral</t>
  </si>
  <si>
    <t>HQ1178 .M36 2015</t>
  </si>
  <si>
    <t>https://ebookcentral.proquest.com/lib/cam/detail.action?docID=2145425</t>
  </si>
  <si>
    <t>The Unsettled Sector : NGOs and the Cultivation of Democratic Citizenship in Rural Mexico</t>
  </si>
  <si>
    <t>JL1299.H5R53 2013</t>
  </si>
  <si>
    <t>https://ebookcentral.proquest.com/lib/cam/detail.action?docID=4520162</t>
  </si>
  <si>
    <t>Memory Ireland : Volume 1: History and Modernity</t>
  </si>
  <si>
    <t>DA926.M3 .M466 2011</t>
  </si>
  <si>
    <t>https://ebookcentral.proquest.com/lib/cam/detail.action?docID=5202548</t>
  </si>
  <si>
    <t>Transnational Australian Cinema : Ethics in the Asian Diasporas</t>
  </si>
  <si>
    <t>PN1993.5.A8 -- K46 2013eb</t>
  </si>
  <si>
    <t>https://ebookcentral.proquest.com/lib/cam/detail.action?docID=1155203</t>
  </si>
  <si>
    <t>Fugitive Slaves and Spaces of Freedom in North America</t>
  </si>
  <si>
    <t>973.7/115</t>
  </si>
  <si>
    <t>E450 .F957 2018</t>
  </si>
  <si>
    <t>https://ebookcentral.proquest.com/lib/cam/detail.action?docID=5493039</t>
  </si>
  <si>
    <t>Collapse of a Country : A Diplomat's Memoir of South Sudan</t>
  </si>
  <si>
    <t>DT159.944.C644 2017</t>
  </si>
  <si>
    <t>https://ebookcentral.proquest.com/lib/cam/detail.action?docID=4929851</t>
  </si>
  <si>
    <t>Alice Munro’s Miraculous Art : Critical Essays</t>
  </si>
  <si>
    <t>PR9199.3.M8.A453 2017</t>
  </si>
  <si>
    <t>https://ebookcentral.proquest.com/lib/cam/detail.action?docID=4901186</t>
  </si>
  <si>
    <t>The Psychopathology of American Capitalism</t>
  </si>
  <si>
    <t>https://ebookcentral.proquest.com/lib/cam/detail.action?docID=4874009</t>
  </si>
  <si>
    <t>Intellectual Philanthropy : The Seduction of the Masses</t>
  </si>
  <si>
    <t>https://ebookcentral.proquest.com/lib/cam/detail.action?docID=5489932</t>
  </si>
  <si>
    <t>Albert Luthuli</t>
  </si>
  <si>
    <t>E184.H95V56 2018</t>
  </si>
  <si>
    <t>https://ebookcentral.proquest.com/lib/cam/detail.action?docID=5455681</t>
  </si>
  <si>
    <t>The Book Worlds of East Asia and Europe, 1450–1850 : Connections and Comparisons</t>
  </si>
  <si>
    <t>P92.E9.B665 2015</t>
  </si>
  <si>
    <t>https://ebookcentral.proquest.com/lib/cam/detail.action?docID=4413576</t>
  </si>
  <si>
    <t>Television and the Modernization Ideal in 1980s China : Dazzling the Eyes</t>
  </si>
  <si>
    <t>PN1992.3.C6 -- .W46 2014eb</t>
  </si>
  <si>
    <t>https://ebookcentral.proquest.com/lib/cam/detail.action?docID=1574395</t>
  </si>
  <si>
    <t>The Making and Remaking of China’s “Red Classics” : Politics, Aesthetics, and Mass Culture</t>
  </si>
  <si>
    <t>DS777.6 .M35 2017</t>
  </si>
  <si>
    <t>https://ebookcentral.proquest.com/lib/cam/detail.action?docID=5106932</t>
  </si>
  <si>
    <t>The Media Commons : Globalization and Environmental Discourses</t>
  </si>
  <si>
    <t>Social Science; Economics; Environmental Studies</t>
  </si>
  <si>
    <t>P96</t>
  </si>
  <si>
    <t>https://ebookcentral.proquest.com/lib/cam/detail.action?docID=4843900</t>
  </si>
  <si>
    <t>Most Scandalous Woman : Magda Portal and the Dream of Revolution in Peru</t>
  </si>
  <si>
    <t>PQ8497.P75.W355 2017</t>
  </si>
  <si>
    <t>https://ebookcentral.proquest.com/lib/cam/detail.action?docID=5105832</t>
  </si>
  <si>
    <t>Dimensions of Blackness : Racial Identity and Political Beliefs</t>
  </si>
  <si>
    <t>323.1196/073</t>
  </si>
  <si>
    <t>E185.625 .S855 2018</t>
  </si>
  <si>
    <t>https://ebookcentral.proquest.com/lib/cam/detail.action?docID=5549098</t>
  </si>
  <si>
    <t>Making a Slave State : Political Development in Early South Carolina</t>
  </si>
  <si>
    <t>E445.S7 .Q568 2018</t>
  </si>
  <si>
    <t>https://ebookcentral.proquest.com/lib/cam/detail.action?docID=5325572</t>
  </si>
  <si>
    <t>The Eighteenth Centuries : Global Networks of Enlightenment</t>
  </si>
  <si>
    <t>https://ebookcentral.proquest.com/lib/cam/detail.action?docID=5247406</t>
  </si>
  <si>
    <t>Other Englands : Utopia, Capital, and Empire in an Age of Transition</t>
  </si>
  <si>
    <t>823.009/372</t>
  </si>
  <si>
    <t>PR830.U7 .H643 2018</t>
  </si>
  <si>
    <t>https://ebookcentral.proquest.com/lib/cam/detail.action?docID=5347155</t>
  </si>
  <si>
    <t>Reforming Sodom : Protestants and the Rise of Gay Rights</t>
  </si>
  <si>
    <t>261.8/357660973</t>
  </si>
  <si>
    <t>BR115.H6 -- .W446 2015eb</t>
  </si>
  <si>
    <t>https://ebookcentral.proquest.com/lib/cam/detail.action?docID=3571154</t>
  </si>
  <si>
    <t>The Vatican and the Emergence of the Modern Middle East : Benedict XV's Diplomacy in Greater Syria (1914-1922)</t>
  </si>
  <si>
    <t>327.456/34056</t>
  </si>
  <si>
    <t>BX1617</t>
  </si>
  <si>
    <t>https://ebookcentral.proquest.com/lib/cam/detail.action?docID=4592424</t>
  </si>
  <si>
    <t>Text and Tradition in South India</t>
  </si>
  <si>
    <t>PL4780.N367 2017</t>
  </si>
  <si>
    <t>https://ebookcentral.proquest.com/lib/cam/detail.action?docID=4871494</t>
  </si>
  <si>
    <t>The Jew As Legitimation : Jewish-Gentile Relations Beyond Antisemitism and Philosemitism</t>
  </si>
  <si>
    <t>https://ebookcentral.proquest.com/lib/cam/detail.action?docID=4795450</t>
  </si>
  <si>
    <t>Law and the Economy in Colonial India</t>
  </si>
  <si>
    <t>Law; Business/Management</t>
  </si>
  <si>
    <t>349.5409/034</t>
  </si>
  <si>
    <t>HC435</t>
  </si>
  <si>
    <t>https://ebookcentral.proquest.com/lib/cam/detail.action?docID=4519368</t>
  </si>
  <si>
    <t>Red Earth : A Vietnamese Memoir of Life on a Colonial Rubber Plantation</t>
  </si>
  <si>
    <t>DS556.83.T7 -- A3613 1985eb</t>
  </si>
  <si>
    <t>https://ebookcentral.proquest.com/lib/cam/detail.action?docID=1781553</t>
  </si>
  <si>
    <t>Movement, Action, Image, Montage : Sergei Eisenstein and the Cinema in Crisis</t>
  </si>
  <si>
    <t>PN1998.3.E34 .A88 2018</t>
  </si>
  <si>
    <t>https://ebookcentral.proquest.com/lib/cam/detail.action?docID=5295664</t>
  </si>
  <si>
    <t>Aesthetics and Technology in Building : The Twenty-First-Century Edition</t>
  </si>
  <si>
    <t>NA4125</t>
  </si>
  <si>
    <t>https://ebookcentral.proquest.com/lib/cam/detail.action?docID=5432895</t>
  </si>
  <si>
    <t>Urban Space as Heritage in Late Colonial Cuba : Classicism and Dissonance on the Plaza de Armas of Havana, 1754-1828</t>
  </si>
  <si>
    <t>Fine Arts; Architecture</t>
  </si>
  <si>
    <t>711/.5509729123</t>
  </si>
  <si>
    <t>NA804.H3 -- N54 2015eb</t>
  </si>
  <si>
    <t>https://ebookcentral.proquest.com/lib/cam/detail.action?docID=3571928</t>
  </si>
  <si>
    <t>Democratic Brazil Divided</t>
  </si>
  <si>
    <t>JL2431</t>
  </si>
  <si>
    <t>https://ebookcentral.proquest.com/lib/cam/detail.action?docID=5171044</t>
  </si>
  <si>
    <t>George Gershwin : An Intimate Portrait</t>
  </si>
  <si>
    <t>https://ebookcentral.proquest.com/lib/cam/detail.action?docID=3414139</t>
  </si>
  <si>
    <t>Civil Resistance : Comparative Perspectives on Nonviolent Struggle</t>
  </si>
  <si>
    <t>303.6/1</t>
  </si>
  <si>
    <t>HM1281 .C58 2015</t>
  </si>
  <si>
    <t>https://ebookcentral.proquest.com/lib/cam/detail.action?docID=2129517</t>
  </si>
  <si>
    <t>Latina/o Midwest Reader</t>
  </si>
  <si>
    <t>973/.0468</t>
  </si>
  <si>
    <t>https://ebookcentral.proquest.com/lib/cam/detail.action?docID=4900834</t>
  </si>
  <si>
    <t>The Street Is My Pulpit : Hip Hop and Christianity in Kenya</t>
  </si>
  <si>
    <t>ML3921</t>
  </si>
  <si>
    <t>https://ebookcentral.proquest.com/lib/cam/detail.action?docID=4443537</t>
  </si>
  <si>
    <t>The Demise of the Inhuman : Afrocentricity, Modernism, and Postmodernism</t>
  </si>
  <si>
    <t>Geography/Travel; Philosophy</t>
  </si>
  <si>
    <t>B5310 -- .M66 2014eb</t>
  </si>
  <si>
    <t>https://ebookcentral.proquest.com/lib/cam/detail.action?docID=3408890</t>
  </si>
  <si>
    <t>American Energy Policy in The 1970s</t>
  </si>
  <si>
    <t>Economics; Business/Management; Environmental Studies</t>
  </si>
  <si>
    <t>HD9502.U52.A429 201</t>
  </si>
  <si>
    <t>https://ebookcentral.proquest.com/lib/cam/detail.action?docID=3571447</t>
  </si>
  <si>
    <t>Decolonizing the Map : Cartography from Colony to Nation</t>
  </si>
  <si>
    <t>Geography/Travel; Science; Science: Astronomy</t>
  </si>
  <si>
    <t>GA108</t>
  </si>
  <si>
    <t>https://ebookcentral.proquest.com/lib/cam/detail.action?docID=4866157</t>
  </si>
  <si>
    <t>Jean Baudrillard : The Rhetoric of Symbolic Exchange</t>
  </si>
  <si>
    <t>https://ebookcentral.proquest.com/lib/cam/detail.action?docID=5185090</t>
  </si>
  <si>
    <t>Icons and the Liturgy, East and West : History, Theology, and Culture</t>
  </si>
  <si>
    <t>Fine Arts; Religion</t>
  </si>
  <si>
    <t>203/.7</t>
  </si>
  <si>
    <t>N8187.5.I266 2017</t>
  </si>
  <si>
    <t>https://ebookcentral.proquest.com/lib/cam/detail.action?docID=5144409</t>
  </si>
  <si>
    <t>Militants, Criminals, and Warlords : The Challenge of Local Governance in an Age of Disorder</t>
  </si>
  <si>
    <t>JZ1317.2 .F453 2018</t>
  </si>
  <si>
    <t>https://ebookcentral.proquest.com/lib/cam/detail.action?docID=5179973</t>
  </si>
  <si>
    <t>Civil Rights Childhood : Picturing Liberation in African American Photobooks</t>
  </si>
  <si>
    <t>323.1196/073009045</t>
  </si>
  <si>
    <t>E185.615 -- .C315 2014eb</t>
  </si>
  <si>
    <t>https://ebookcentral.proquest.com/lib/cam/detail.action?docID=1843622</t>
  </si>
  <si>
    <t>Emerging Powers in Africa : A New Wave in the Relationship?</t>
  </si>
  <si>
    <t>Economics; Business/Management; Political Science</t>
  </si>
  <si>
    <t>https://ebookcentral.proquest.com/lib/cam/detail.action?docID=4767198</t>
  </si>
  <si>
    <t>Appropriating Theory : Angel Rama's Critical Work</t>
  </si>
  <si>
    <t>PN75</t>
  </si>
  <si>
    <t>https://ebookcentral.proquest.com/lib/cam/detail.action?docID=5047202</t>
  </si>
  <si>
    <t>Behind the Wireless : A History of Early Women at the BBC</t>
  </si>
  <si>
    <t>Business/Management; Science</t>
  </si>
  <si>
    <t>384.5/5/0820941</t>
  </si>
  <si>
    <t>https://ebookcentral.proquest.com/lib/cam/detail.action?docID=4719981</t>
  </si>
  <si>
    <t>Europe (C. 1400-1458)</t>
  </si>
  <si>
    <t>943/.028</t>
  </si>
  <si>
    <t>DD173</t>
  </si>
  <si>
    <t>https://ebookcentral.proquest.com/lib/cam/detail.action?docID=3135080</t>
  </si>
  <si>
    <t>Rethinking Sincerity and Authenticity : The Ethics of Theatricality in Kant, Kierkegaard, and Levinas</t>
  </si>
  <si>
    <t>B2798 .P535 2017</t>
  </si>
  <si>
    <t>https://ebookcentral.proquest.com/lib/cam/detail.action?docID=5148924</t>
  </si>
  <si>
    <t>The Labor of Care : Filipina Migrants and Transnational Families in the Digital Age</t>
  </si>
  <si>
    <t>HM1271</t>
  </si>
  <si>
    <t>https://ebookcentral.proquest.com/lib/cam/detail.action?docID=5354161</t>
  </si>
  <si>
    <t>Race, Place, and Memory : Deep Currents in Wilmington, North Carolina</t>
  </si>
  <si>
    <t>305.8009756/27</t>
  </si>
  <si>
    <t>F264.W7 .M857 2018</t>
  </si>
  <si>
    <t>https://ebookcentral.proquest.com/lib/cam/detail.action?docID=5217683</t>
  </si>
  <si>
    <t>Acid Hype : American News Media and the Psychedelic Experience</t>
  </si>
  <si>
    <t>https://ebookcentral.proquest.com/lib/cam/detail.action?docID=3414446</t>
  </si>
  <si>
    <t>Holocaust Public Memory in Postcommunist Romania</t>
  </si>
  <si>
    <t>https://ebookcentral.proquest.com/lib/cam/detail.action?docID=5254572</t>
  </si>
  <si>
    <t>Troubled Memories : Iconic Mexican Women and the Traps of Representation</t>
  </si>
  <si>
    <t>PQ7123.W6 .E887 2018</t>
  </si>
  <si>
    <t>https://ebookcentral.proquest.com/lib/cam/detail.action?docID=5473322</t>
  </si>
  <si>
    <t>Brown Threat : Identification in the Security State</t>
  </si>
  <si>
    <t>E184.A1.S558 2016</t>
  </si>
  <si>
    <t>https://ebookcentral.proquest.com/lib/cam/detail.action?docID=4525987</t>
  </si>
  <si>
    <t>Living with History / Making Social Change</t>
  </si>
  <si>
    <t>305.4071/1073</t>
  </si>
  <si>
    <t>HQ1410 -- .L476 2009eb</t>
  </si>
  <si>
    <t>https://ebookcentral.proquest.com/lib/cam/detail.action?docID=4322156</t>
  </si>
  <si>
    <t>Colonial and Postcolonial Change in Mesoamerica : Archaeology As Historical Anthropology</t>
  </si>
  <si>
    <t>F1219 .C656 2018</t>
  </si>
  <si>
    <t>https://ebookcentral.proquest.com/lib/cam/detail.action?docID=5524450</t>
  </si>
  <si>
    <t>A Theory of Virtual Agency for Western Art Music</t>
  </si>
  <si>
    <t>https://ebookcentral.proquest.com/lib/cam/detail.action?docID=5500289</t>
  </si>
  <si>
    <t>The Rebirth of Bodh Gaya : Buddhism and the Making of a World Heritage Site</t>
  </si>
  <si>
    <t>DS486.B9 .G4379 2017</t>
  </si>
  <si>
    <t>https://ebookcentral.proquest.com/lib/cam/detail.action?docID=5150770</t>
  </si>
  <si>
    <t>The Shephelah during the Iron Age : Recent Archaeological Studies</t>
  </si>
  <si>
    <t>DS110.S555.S547 2017</t>
  </si>
  <si>
    <t>https://ebookcentral.proquest.com/lib/cam/detail.action?docID=4857820</t>
  </si>
  <si>
    <t>The Mexican Press and Civil Society, 1940-1976 : Stories from the Newsroom, Stories from the Street</t>
  </si>
  <si>
    <t>PN4974.S6 .S658 2018</t>
  </si>
  <si>
    <t>https://ebookcentral.proquest.com/lib/cam/detail.action?docID=5488855</t>
  </si>
  <si>
    <t>Rights and redemption : History, Law and Indigenous People</t>
  </si>
  <si>
    <t>University of NSW Press</t>
  </si>
  <si>
    <t>DU124.L35.C87 2008</t>
  </si>
  <si>
    <t>https://ebookcentral.proquest.com/lib/cam/detail.action?docID=421316</t>
  </si>
  <si>
    <t>John Donne and Contemporary Poetry : Essays and Poems</t>
  </si>
  <si>
    <t>https://ebookcentral.proquest.com/lib/cam/detail.action?docID=5049884</t>
  </si>
  <si>
    <t>The War Against Al-Qaeda : Religion, Policy, and Counter-Narratives</t>
  </si>
  <si>
    <t>HV6432.5.Q2.Z447 2017</t>
  </si>
  <si>
    <t>https://ebookcentral.proquest.com/lib/cam/detail.action?docID=4869904</t>
  </si>
  <si>
    <t>South Sudan, a New History for a New Nation : A New History for a New Nation</t>
  </si>
  <si>
    <t>DT159.92.J64 2016</t>
  </si>
  <si>
    <t>https://ebookcentral.proquest.com/lib/cam/detail.action?docID=4791060</t>
  </si>
  <si>
    <t>Research on Gender and Sexualities in Africa</t>
  </si>
  <si>
    <t>HQ1075.R474 2017</t>
  </si>
  <si>
    <t>https://ebookcentral.proquest.com/lib/cam/detail.action?docID=4983536</t>
  </si>
  <si>
    <t>A Sense of Justice : Legal Knowledge and Lived Experience in Latin America</t>
  </si>
  <si>
    <t>340/.115098</t>
  </si>
  <si>
    <t>KH99</t>
  </si>
  <si>
    <t>https://ebookcentral.proquest.com/lib/cam/detail.action?docID=4780591</t>
  </si>
  <si>
    <t>Hip Hop Ukraine : Music, Race, and African Migration</t>
  </si>
  <si>
    <t>306.4/8424909477</t>
  </si>
  <si>
    <t>ML3499.U37.H45 2014</t>
  </si>
  <si>
    <t>https://ebookcentral.proquest.com/lib/cam/detail.action?docID=1680202</t>
  </si>
  <si>
    <t>The University in the 21st century : Teaching the New Enlightenment at the Dawn of the Digital Age</t>
  </si>
  <si>
    <t>LB2322.2.E45 2016</t>
  </si>
  <si>
    <t>https://ebookcentral.proquest.com/lib/cam/detail.action?docID=4692495</t>
  </si>
  <si>
    <t>Signs and Society : Further Studies in Semiotic Anthropology</t>
  </si>
  <si>
    <t>P99.4.S62.P376 2016</t>
  </si>
  <si>
    <t>https://ebookcentral.proquest.com/lib/cam/detail.action?docID=4745490</t>
  </si>
  <si>
    <t>Land, Livelihood, and Civility in Southern Mexico : Oaxaca Valley Communities in History</t>
  </si>
  <si>
    <t>305.800972/74</t>
  </si>
  <si>
    <t>F1221.Z3 -- C57 2014eb</t>
  </si>
  <si>
    <t>https://ebookcentral.proquest.com/lib/cam/detail.action?docID=3443732</t>
  </si>
  <si>
    <t>The Outcast Majority : War, Development, and Youth in Africa</t>
  </si>
  <si>
    <t>HQ799.A357 -- S66 2015eb</t>
  </si>
  <si>
    <t>https://ebookcentral.proquest.com/lib/cam/detail.action?docID=4397170</t>
  </si>
  <si>
    <t>The Rise and Fall of Khoqand, 1709-1876 : Central Asia in the Global Age</t>
  </si>
  <si>
    <t>958.7/07</t>
  </si>
  <si>
    <t>DK949</t>
  </si>
  <si>
    <t>https://ebookcentral.proquest.com/lib/cam/detail.action?docID=5316893</t>
  </si>
  <si>
    <t>Africans in Exile : Mobility, Law, and Identity</t>
  </si>
  <si>
    <t>JV8790 .A375 2018</t>
  </si>
  <si>
    <t>https://ebookcentral.proquest.com/lib/cam/detail.action?docID=5506532</t>
  </si>
  <si>
    <t>Al Qaeda: the Transformation of Terrorism in the Middle East and North Africa</t>
  </si>
  <si>
    <t>HV6432.5.Q2 B35 2015</t>
  </si>
  <si>
    <t>https://ebookcentral.proquest.com/lib/cam/detail.action?docID=2122968</t>
  </si>
  <si>
    <t>Giuliano de' Medici : Machiavelli's Prince in Life and Art</t>
  </si>
  <si>
    <t>DG738.14.M4 .J864 2018</t>
  </si>
  <si>
    <t>https://ebookcentral.proquest.com/lib/cam/detail.action?docID=5354310</t>
  </si>
  <si>
    <t>Seafaring and Seafarers in the Bronze Age Eastern Mediterranean</t>
  </si>
  <si>
    <t>G540 .K537 2018</t>
  </si>
  <si>
    <t>https://ebookcentral.proquest.com/lib/cam/detail.action?docID=5525936</t>
  </si>
  <si>
    <t>Apocalyptic Anxiety : Religion, Science, and America's Obsession with the End of the World</t>
  </si>
  <si>
    <t>Religion; General Works/Reference</t>
  </si>
  <si>
    <t>BL501</t>
  </si>
  <si>
    <t>https://ebookcentral.proquest.com/lib/cam/detail.action?docID=4526020</t>
  </si>
  <si>
    <t>Octavia E. Butler</t>
  </si>
  <si>
    <t>https://ebookcentral.proquest.com/lib/cam/detail.action?docID=4792718</t>
  </si>
  <si>
    <t>Women and Genocide : Survivors, Victims, Perpetrators</t>
  </si>
  <si>
    <t>HV6322.7 .W664 2018</t>
  </si>
  <si>
    <t>https://ebookcentral.proquest.com/lib/cam/detail.action?docID=5382245</t>
  </si>
  <si>
    <t>The Many Cinemas of Michael Curtiz</t>
  </si>
  <si>
    <t>PN1998.3.C87 .M369 2018</t>
  </si>
  <si>
    <t>https://ebookcentral.proquest.com/lib/cam/detail.action?docID=5347146</t>
  </si>
  <si>
    <t>Portable Borders : Performance Art and Politics on the U.S. Frontera since 1984</t>
  </si>
  <si>
    <t>N8217.B63 -- .S54 2015eb</t>
  </si>
  <si>
    <t>https://ebookcentral.proquest.com/lib/cam/detail.action?docID=3443770</t>
  </si>
  <si>
    <t>Border Spaces : Visualizing the U. S. -Mexico Frontera</t>
  </si>
  <si>
    <t>N72</t>
  </si>
  <si>
    <t>https://ebookcentral.proquest.com/lib/cam/detail.action?docID=5233386</t>
  </si>
  <si>
    <t>Nabokov and the Question of Morality : Aesthetics, Metaphysics, and the Ethics of Fiction</t>
  </si>
  <si>
    <t>https://ebookcentral.proquest.com/lib/cam/detail.action?docID=4716768</t>
  </si>
  <si>
    <t>Villainous Compounds : Chemical Weapons and the American Civil War</t>
  </si>
  <si>
    <t>973.7/3</t>
  </si>
  <si>
    <t>UG447</t>
  </si>
  <si>
    <t>https://ebookcentral.proquest.com/lib/cam/detail.action?docID=4000286</t>
  </si>
  <si>
    <t>African Philosophy and Thought Systems : A Search for a Culture and Philosophy of Belonging</t>
  </si>
  <si>
    <t>B5305 -- .M39 2016eb</t>
  </si>
  <si>
    <t>https://ebookcentral.proquest.com/lib/cam/detail.action?docID=4439352</t>
  </si>
  <si>
    <t>Elusive Lives : Gender, Autobiography, and the Self in Muslim South Asia</t>
  </si>
  <si>
    <t>CT25 .L363 2018</t>
  </si>
  <si>
    <t>https://ebookcentral.proquest.com/lib/cam/detail.action?docID=5407386</t>
  </si>
  <si>
    <t>At the End of the Street in the Shadow : Orson Welles and the City</t>
  </si>
  <si>
    <t>PN1998.3.W45.G749 2016eb</t>
  </si>
  <si>
    <t>https://ebookcentral.proquest.com/lib/cam/detail.action?docID=4454806</t>
  </si>
  <si>
    <t>In Search of the True Russia : The Provinces in Contemporary Nationalist Discourse</t>
  </si>
  <si>
    <t>891.709/3581</t>
  </si>
  <si>
    <t>PG2987</t>
  </si>
  <si>
    <t>https://ebookcentral.proquest.com/lib/cam/detail.action?docID=5424928</t>
  </si>
  <si>
    <t>Rethinking Science Education : Philosophical Perspectives</t>
  </si>
  <si>
    <t>Q181 -- .S38 2014eb</t>
  </si>
  <si>
    <t>https://ebookcentral.proquest.com/lib/cam/detail.action?docID=3316044</t>
  </si>
  <si>
    <t>The Katangese Gendarmes and War in Central Africa : Fighting Their Way Home</t>
  </si>
  <si>
    <t>DT665.K3 -- .K466 2016eb</t>
  </si>
  <si>
    <t>https://ebookcentral.proquest.com/lib/cam/detail.action?docID=4557197</t>
  </si>
  <si>
    <t>Egyptian Bioarchaeology : Humans, Animals, and the Environment</t>
  </si>
  <si>
    <t>GN58.E3 -- .E397 2015eb</t>
  </si>
  <si>
    <t>https://ebookcentral.proquest.com/lib/cam/detail.action?docID=1969447</t>
  </si>
  <si>
    <t>Animals and Inequality in the Ancient World</t>
  </si>
  <si>
    <t>Science: Zoology; Social Science; Science</t>
  </si>
  <si>
    <t>304.2/7</t>
  </si>
  <si>
    <t>QL85</t>
  </si>
  <si>
    <t>https://ebookcentral.proquest.com/lib/cam/detail.action?docID=3039856</t>
  </si>
  <si>
    <t>The Story of "Me" : Contemporary American Autofiction</t>
  </si>
  <si>
    <t>PS374.A88 .W67 2018</t>
  </si>
  <si>
    <t>https://ebookcentral.proquest.com/lib/cam/detail.action?docID=5520527</t>
  </si>
  <si>
    <t>Between Debt and the Devil : Money, Credit, and Fixing Global Finance</t>
  </si>
  <si>
    <t>332/.042</t>
  </si>
  <si>
    <t>HG3881.T876 2016</t>
  </si>
  <si>
    <t>https://ebookcentral.proquest.com/lib/cam/detail.action?docID=4931515</t>
  </si>
  <si>
    <t>The New Urban Crisis : Gentrification, Housing Bubbles, Growing Inequality, and What We Can Do about It</t>
  </si>
  <si>
    <t>HT123 .F567 2017</t>
  </si>
  <si>
    <t>https://ebookcentral.proquest.com/lib/cam/detail.action?docID=5182523</t>
  </si>
  <si>
    <t>Classical Geopolitics : A NewAnalyticalModel</t>
  </si>
  <si>
    <t>JC319</t>
  </si>
  <si>
    <t>https://ebookcentral.proquest.com/lib/cam/detail.action?docID=4414785</t>
  </si>
  <si>
    <t>Copts and the Security State : Violence, Coercion, and Sectarianism in Contemporary Egypt</t>
  </si>
  <si>
    <t>323.1193/2</t>
  </si>
  <si>
    <t>DT72</t>
  </si>
  <si>
    <t>https://ebookcentral.proquest.com/lib/cam/detail.action?docID=4714052</t>
  </si>
  <si>
    <t>Latin American Women on/in Stages</t>
  </si>
  <si>
    <t>862/.6093522</t>
  </si>
  <si>
    <t>PQ7081.5 -- .M55 2004eb</t>
  </si>
  <si>
    <t>https://ebookcentral.proquest.com/lib/cam/detail.action?docID=3407765</t>
  </si>
  <si>
    <t>For Our Good Always : Studies on the Message and Influence of Deuteronomy in Honor of Daniel I. Block</t>
  </si>
  <si>
    <t>222/.1506</t>
  </si>
  <si>
    <t>BS1275.52 -- .F67 2013eb</t>
  </si>
  <si>
    <t>https://ebookcentral.proquest.com/lib/cam/detail.action?docID=3155688</t>
  </si>
  <si>
    <t>Dance of the Trillions : Developing Countries and Global Finance</t>
  </si>
  <si>
    <t>HG3881 .L835 2018</t>
  </si>
  <si>
    <t>https://ebookcentral.proquest.com/lib/cam/detail.action?docID=5408088</t>
  </si>
  <si>
    <t>Liberation through Reconciliation : Jon Sobrino's Christological Spirituality</t>
  </si>
  <si>
    <t>BT83.57 -- .V36 2016eb</t>
  </si>
  <si>
    <t>https://ebookcentral.proquest.com/lib/cam/detail.action?docID=4395354</t>
  </si>
  <si>
    <t>The Accompaniment in Unaccompanied Bach : Interpreting the Sonatas and Partitas for Violin</t>
  </si>
  <si>
    <t>MT145.B11.R58 2016eb</t>
  </si>
  <si>
    <t>https://ebookcentral.proquest.com/lib/cam/detail.action?docID=4631628</t>
  </si>
  <si>
    <t>Terence Davies : Terence Davies</t>
  </si>
  <si>
    <t>https://ebookcentral.proquest.com/lib/cam/detail.action?docID=3414395</t>
  </si>
  <si>
    <t>A Road Unforeseen : Women Fight the Islamic State</t>
  </si>
  <si>
    <t>DS98.6.T396 2016eb</t>
  </si>
  <si>
    <t>https://ebookcentral.proquest.com/lib/cam/detail.action?docID=4584968</t>
  </si>
  <si>
    <t>Radical Imagination, Radical Humanity : Puerto Rican Political Activism in New York</t>
  </si>
  <si>
    <t>F128.9.P85.M895 2017</t>
  </si>
  <si>
    <t>https://ebookcentral.proquest.com/lib/cam/detail.action?docID=4792834</t>
  </si>
  <si>
    <t>New World Postcolonial : The Political Thought of Inca Garcilaso de la Vega</t>
  </si>
  <si>
    <t>985/.03092</t>
  </si>
  <si>
    <t>F3444</t>
  </si>
  <si>
    <t>https://ebookcentral.proquest.com/lib/cam/detail.action?docID=5399346</t>
  </si>
  <si>
    <t>Biosecurity Dilemmas : Dreaded Diseases, Ethical Responses, and the Health of Nations</t>
  </si>
  <si>
    <t>JZ5865.B56.E546 2017</t>
  </si>
  <si>
    <t>https://ebookcentral.proquest.com/lib/cam/detail.action?docID=4800311</t>
  </si>
  <si>
    <t>Breathing Race into the Machine : The Surprising Career of the Spirometer from Plantation to Genetics</t>
  </si>
  <si>
    <t>RC773 -- .B738 2014eb</t>
  </si>
  <si>
    <t>https://ebookcentral.proquest.com/lib/cam/detail.action?docID=1637623</t>
  </si>
  <si>
    <t>Judaism in Transition : How Economic Choices Shape Religious Tradition</t>
  </si>
  <si>
    <t>BM205</t>
  </si>
  <si>
    <t>https://ebookcentral.proquest.com/lib/cam/detail.action?docID=1680679</t>
  </si>
  <si>
    <t>Singapore : Smart City, Smart State</t>
  </si>
  <si>
    <t>DS610.7 .C35 2016</t>
  </si>
  <si>
    <t>https://ebookcentral.proquest.com/lib/cam/detail.action?docID=4549762</t>
  </si>
  <si>
    <t>Dream Hoarders : How the American Upper Middle Class Is Leaving Everyone Else in the Dust, Why That Is a Problem, and What to Do About It</t>
  </si>
  <si>
    <t>HT690.U6 .R448 2018</t>
  </si>
  <si>
    <t>https://ebookcentral.proquest.com/lib/cam/detail.action?docID=5288082</t>
  </si>
  <si>
    <t>The Future of Work : Robots, AI, and Automation</t>
  </si>
  <si>
    <t>HD5706 .W478 2018</t>
  </si>
  <si>
    <t>https://ebookcentral.proquest.com/lib/cam/detail.action?docID=5180008</t>
  </si>
  <si>
    <t>Buddhist Visual Cultures, Rhetoric, and Narrative in Late Burmese Wall Paintings</t>
  </si>
  <si>
    <t>ND2833.6 .G744 2018</t>
  </si>
  <si>
    <t>https://ebookcentral.proquest.com/lib/cam/detail.action?docID=5343630</t>
  </si>
  <si>
    <t>Building a Latino Civil Rights Movement : Puerto Ricans, African Americans, and the Pursuit of Racial Justice in New York City</t>
  </si>
  <si>
    <t>323.1168/729507471</t>
  </si>
  <si>
    <t>F128.9.P85.L44 2014</t>
  </si>
  <si>
    <t>https://ebookcentral.proquest.com/lib/cam/detail.action?docID=1663560</t>
  </si>
  <si>
    <t>Imagined Futures : Fictional Expectations and Capitalist Dynamics</t>
  </si>
  <si>
    <t>330.12/2</t>
  </si>
  <si>
    <t>HB501</t>
  </si>
  <si>
    <t>https://ebookcentral.proquest.com/lib/cam/detail.action?docID=4532725</t>
  </si>
  <si>
    <t>Wellbeing, Equity and Education : A Critical Analysis of Policy Discourses of Wellbeing in Schools</t>
  </si>
  <si>
    <t>https://ebookcentral.proquest.com/lib/cam/detail.action?docID=4794279</t>
  </si>
  <si>
    <t>The Essence of Scenarios : Learning from the Shell Experience</t>
  </si>
  <si>
    <t>Amsterdam University Press</t>
  </si>
  <si>
    <t>HD30</t>
  </si>
  <si>
    <t>https://ebookcentral.proquest.com/lib/cam/detail.action?docID=1773767</t>
  </si>
  <si>
    <t>Heidegger in France</t>
  </si>
  <si>
    <t>B3279.H49 -- J2713 2015eb</t>
  </si>
  <si>
    <t>https://ebookcentral.proquest.com/lib/cam/detail.action?docID=4387025</t>
  </si>
  <si>
    <t>Women of Words in le Morte Darthur : The Autonomy of Speech in Malory's Female Characters</t>
  </si>
  <si>
    <t>https://ebookcentral.proquest.com/lib/cam/detail.action?docID=4711790</t>
  </si>
  <si>
    <t>Laying Out the Bones : Death and Dying in the Modern Irish Novel from James Joyce to Anne Enright</t>
  </si>
  <si>
    <t>823/.91099417</t>
  </si>
  <si>
    <t>PR8803 .E54 2017</t>
  </si>
  <si>
    <t>https://ebookcentral.proquest.com/lib/cam/detail.action?docID=5192733</t>
  </si>
  <si>
    <t>Digital Activism in the Social Media Era : Critical Reflections on Emerging Trends in Sub-Saharan Africa</t>
  </si>
  <si>
    <t>https://ebookcentral.proquest.com/lib/cam/detail.action?docID=4769281</t>
  </si>
  <si>
    <t>Mestizo Modernity : Race, Technology, and the Body in Post-Revolutionary Mexico</t>
  </si>
  <si>
    <t>F1392.M47 D35 2018</t>
  </si>
  <si>
    <t>https://ebookcentral.proquest.com/lib/cam/detail.action?docID=5485173</t>
  </si>
  <si>
    <t>Honor in Political and Moral Philosophy</t>
  </si>
  <si>
    <t>179/.9</t>
  </si>
  <si>
    <t>BJ1533.H8 -- .O57 2015eb</t>
  </si>
  <si>
    <t>https://ebookcentral.proquest.com/lib/cam/detail.action?docID=3408972</t>
  </si>
  <si>
    <t>Forging Communities : Food and Representation in Medieval and Early Modern Southwestern Europe</t>
  </si>
  <si>
    <t>Social Science; Home Economics</t>
  </si>
  <si>
    <t>641.509/02</t>
  </si>
  <si>
    <t>GT2853</t>
  </si>
  <si>
    <t>https://ebookcentral.proquest.com/lib/cam/detail.action?docID=5490661</t>
  </si>
  <si>
    <t>Brothers Apart : Palestinian Citizens of Israel and the Arab World</t>
  </si>
  <si>
    <t>305.8992/7405694</t>
  </si>
  <si>
    <t>DS113.7.N378 2017</t>
  </si>
  <si>
    <t>https://ebookcentral.proquest.com/lib/cam/detail.action?docID=5024624</t>
  </si>
  <si>
    <t>Media Events : A Critical Contemporary Approach</t>
  </si>
  <si>
    <t>https://ebookcentral.proquest.com/lib/cam/detail.action?docID=4720058</t>
  </si>
  <si>
    <t>Language, Capitalism, Colonialism : Toward a Critical History</t>
  </si>
  <si>
    <t>P40.H455 2017</t>
  </si>
  <si>
    <t>https://ebookcentral.proquest.com/lib/cam/detail.action?docID=5123493</t>
  </si>
  <si>
    <t>Neoliberalism's Demons : On the Political Theology of Late Capital</t>
  </si>
  <si>
    <t>BT83.59 .K687 2018</t>
  </si>
  <si>
    <t>https://ebookcentral.proquest.com/lib/cam/detail.action?docID=5482831</t>
  </si>
  <si>
    <t>The Arab Revolution Of 2011 : A Comparative Perspective</t>
  </si>
  <si>
    <t>Political Science; Geography/Travel</t>
  </si>
  <si>
    <t>909/.097492708312</t>
  </si>
  <si>
    <t>JQ1850.A91 -- .A733 2015eb</t>
  </si>
  <si>
    <t>https://ebookcentral.proquest.com/lib/cam/detail.action?docID=3409016</t>
  </si>
  <si>
    <t>Theory for the Working Sociologist</t>
  </si>
  <si>
    <t>HM585 .R653 2017</t>
  </si>
  <si>
    <t>https://ebookcentral.proquest.com/lib/cam/detail.action?docID=5276007</t>
  </si>
  <si>
    <t>The Mitki and the Art of Postmodern Protest in Russia</t>
  </si>
  <si>
    <t>N6996</t>
  </si>
  <si>
    <t>https://ebookcentral.proquest.com/lib/cam/detail.action?docID=5310035</t>
  </si>
  <si>
    <t>The Politics of the Second Slavery</t>
  </si>
  <si>
    <t>HT1048.P65 2016</t>
  </si>
  <si>
    <t>https://ebookcentral.proquest.com/lib/cam/detail.action?docID=4744403</t>
  </si>
  <si>
    <t>Democratic Peace in Theory and Practice</t>
  </si>
  <si>
    <t>303.6/6</t>
  </si>
  <si>
    <t>JC423 -- .D3813565 2010eb</t>
  </si>
  <si>
    <t>https://ebookcentral.proquest.com/lib/cam/detail.action?docID=3121294</t>
  </si>
  <si>
    <t>Mobilizing Heritage : Anthropological Practice and Transnational Prospects</t>
  </si>
  <si>
    <t>363.6/9</t>
  </si>
  <si>
    <t>CC135 .L23 2018</t>
  </si>
  <si>
    <t>https://ebookcentral.proquest.com/lib/cam/detail.action?docID=5340302</t>
  </si>
  <si>
    <t>Redrawing the Historical Past : History, Memory, and Multiethnic Graphic Novels</t>
  </si>
  <si>
    <t>PN6714 .R437 2017</t>
  </si>
  <si>
    <t>https://ebookcentral.proquest.com/lib/cam/detail.action?docID=5341966</t>
  </si>
  <si>
    <t>Sex Workers, Psychics, and Numbers Runners : Black Women in New York City's Underground Economy</t>
  </si>
  <si>
    <t>331.4089/9607307471</t>
  </si>
  <si>
    <t>HD6057</t>
  </si>
  <si>
    <t>https://ebookcentral.proquest.com/lib/cam/detail.action?docID=4443568</t>
  </si>
  <si>
    <t>The Paradox of Authenticity : Folklore Performance in Post-Communist Slovakia</t>
  </si>
  <si>
    <t>GR154</t>
  </si>
  <si>
    <t>https://ebookcentral.proquest.com/lib/cam/detail.action?docID=5438578</t>
  </si>
  <si>
    <t>The Populist Explosion : How the Great Recession Transformed American and European Politics</t>
  </si>
  <si>
    <t>320.56/62073</t>
  </si>
  <si>
    <t>JC423 .J83 2016</t>
  </si>
  <si>
    <t>https://ebookcentral.proquest.com/lib/cam/detail.action?docID=4644771</t>
  </si>
  <si>
    <t>Confederate Visions : Nationalism, Symbolism, and the Imagined South in the Civil War</t>
  </si>
  <si>
    <t>F214 -- .B56 2013eb</t>
  </si>
  <si>
    <t>https://ebookcentral.proquest.com/lib/cam/detail.action?docID=3444141</t>
  </si>
  <si>
    <t>The Senses of Democracy : Perception, Politics, and Culture in Latin America</t>
  </si>
  <si>
    <t>PN849.L29 .M375 2018</t>
  </si>
  <si>
    <t>https://ebookcentral.proquest.com/lib/cam/detail.action?docID=5264867</t>
  </si>
  <si>
    <t>The Moral Electricity of Print : Transatlantic Education and the Lima Women's Circuit, 1876-1910</t>
  </si>
  <si>
    <t>PQ8492.L5.B754 2017</t>
  </si>
  <si>
    <t>https://ebookcentral.proquest.com/lib/cam/detail.action?docID=4905456</t>
  </si>
  <si>
    <t>Corpus-based Approaches to Construction Grammar</t>
  </si>
  <si>
    <t>P163.5.C677 2016eb</t>
  </si>
  <si>
    <t>https://ebookcentral.proquest.com/lib/cam/detail.action?docID=4673372</t>
  </si>
  <si>
    <t>The Prince of This World</t>
  </si>
  <si>
    <t>BT982</t>
  </si>
  <si>
    <t>https://ebookcentral.proquest.com/lib/cam/detail.action?docID=4669551</t>
  </si>
  <si>
    <t>Ancient Psychoactive Substances</t>
  </si>
  <si>
    <t>Pharmacy; Medicine</t>
  </si>
  <si>
    <t>RM315 .A58</t>
  </si>
  <si>
    <t>https://ebookcentral.proquest.com/lib/cam/detail.action?docID=5216612</t>
  </si>
  <si>
    <t>Bauhaus Weaving Theory : From Feminine Craft to Mode of Design</t>
  </si>
  <si>
    <t>NK8998.B38 -- .S65 2014eb</t>
  </si>
  <si>
    <t>https://ebookcentral.proquest.com/lib/cam/detail.action?docID=1834016</t>
  </si>
  <si>
    <t>A History of Stepfamilies in Early America</t>
  </si>
  <si>
    <t>306.874/70973</t>
  </si>
  <si>
    <t>HQ535 -- .W55 2014eb</t>
  </si>
  <si>
    <t>https://ebookcentral.proquest.com/lib/cam/detail.action?docID=1770511</t>
  </si>
  <si>
    <t>Anthropology and Civilizational Analysis : Eurasian Explorations</t>
  </si>
  <si>
    <t>GN345.2 .A58 2018</t>
  </si>
  <si>
    <t>https://ebookcentral.proquest.com/lib/cam/detail.action?docID=5396607</t>
  </si>
  <si>
    <t>Theatre and Cartographies of Power : Repositioning the Latina/o Americas</t>
  </si>
  <si>
    <t>PN2309</t>
  </si>
  <si>
    <t>https://ebookcentral.proquest.com/lib/cam/detail.action?docID=5351446</t>
  </si>
  <si>
    <t>Postcolonial Paris : Fictions of Intimacy in the City of Light</t>
  </si>
  <si>
    <t>PQ150</t>
  </si>
  <si>
    <t>https://ebookcentral.proquest.com/lib/cam/detail.action?docID=5424927</t>
  </si>
  <si>
    <t>The Cruelest of All Mothers : Marie de l'Incarnation, Motherhood, and Christian Tradition</t>
  </si>
  <si>
    <t>271/.97402</t>
  </si>
  <si>
    <t>BX2353 -- .D866 2016eb</t>
  </si>
  <si>
    <t>https://ebookcentral.proquest.com/lib/cam/detail.action?docID=3430736</t>
  </si>
  <si>
    <t>Haya de la Torre and the Pursuit of Power in Twentieth-Century Peru and Latin America</t>
  </si>
  <si>
    <t>985.06/3092</t>
  </si>
  <si>
    <t>F3448.H3 .G373 2018</t>
  </si>
  <si>
    <t>https://ebookcentral.proquest.com/lib/cam/detail.action?docID=5487757</t>
  </si>
  <si>
    <t>Mirror Affect : Seeing Self, Observing Others in Contemporary Art</t>
  </si>
  <si>
    <t>701/.18</t>
  </si>
  <si>
    <t>N7430.5.A438 2016</t>
  </si>
  <si>
    <t>https://ebookcentral.proquest.com/lib/cam/detail.action?docID=4525977</t>
  </si>
  <si>
    <t>Letters and Epistolary Culture in Early Medieval China</t>
  </si>
  <si>
    <t>808.6/0951</t>
  </si>
  <si>
    <t>MLICPB</t>
  </si>
  <si>
    <t>https://ebookcentral.proquest.com/lib/cam/detail.action?docID=3444532</t>
  </si>
  <si>
    <t>Eugene o'Neill Remembered</t>
  </si>
  <si>
    <t>PS3529</t>
  </si>
  <si>
    <t>https://ebookcentral.proquest.com/lib/cam/detail.action?docID=4743698</t>
  </si>
  <si>
    <t>American Grand Strategy in the Age of Trump</t>
  </si>
  <si>
    <t>HC102.5.T78 .B736 2018</t>
  </si>
  <si>
    <t>https://ebookcentral.proquest.com/lib/cam/detail.action?docID=5180002</t>
  </si>
  <si>
    <t>Ghost Faces : Hollywood and Post-Millennial Masculinity</t>
  </si>
  <si>
    <t>791.43/65211</t>
  </si>
  <si>
    <t>PN1995.9.M46G73 2015</t>
  </si>
  <si>
    <t>https://ebookcentral.proquest.com/lib/cam/detail.action?docID=4414676</t>
  </si>
  <si>
    <t>Israel and the Assyrians : Deuteronomy, the Succession Treaty of Esarhaddon, and the Nature of Subvers</t>
  </si>
  <si>
    <t>222/.15067</t>
  </si>
  <si>
    <t>BS1184</t>
  </si>
  <si>
    <t>https://ebookcentral.proquest.com/lib/cam/detail.action?docID=3118334</t>
  </si>
  <si>
    <t>Lahav III : The Iron Age II Cemetery at Tell Halif (Site 72)</t>
  </si>
  <si>
    <t>DS110.H285 -- B67 2013eb</t>
  </si>
  <si>
    <t>https://ebookcentral.proquest.com/lib/cam/detail.action?docID=3155682</t>
  </si>
  <si>
    <t>Art Labor, Sex Politics : Feminist Effects in 1970s British Art and Performance</t>
  </si>
  <si>
    <t>704/.042094109047</t>
  </si>
  <si>
    <t>NX650.S54 -- .W557 2015eb</t>
  </si>
  <si>
    <t>https://ebookcentral.proquest.com/lib/cam/detail.action?docID=1913504</t>
  </si>
  <si>
    <t>Feminist Activist Ethnography : Counterpoints to Neoliberalism in North America</t>
  </si>
  <si>
    <t>GN33.8 -- .F43 2013eb</t>
  </si>
  <si>
    <t>https://ebookcentral.proquest.com/lib/cam/detail.action?docID=1203904</t>
  </si>
  <si>
    <t>Rethinking Slave Rebellion in Cuba : La Escalera and the Insurgencies Of 1841-1844</t>
  </si>
  <si>
    <t>972.91/05</t>
  </si>
  <si>
    <t>F1783 -- .F563 2015eb</t>
  </si>
  <si>
    <t>https://ebookcentral.proquest.com/lib/cam/detail.action?docID=3571146</t>
  </si>
  <si>
    <t>Invisible Slaves : The Victims and Perpetrators of Modern-Day Slavery</t>
  </si>
  <si>
    <t>HT871 .H387 2018</t>
  </si>
  <si>
    <t>https://ebookcentral.proquest.com/lib/cam/detail.action?docID=5115395</t>
  </si>
  <si>
    <t>Retroactivism in the Lesbian Archives : Composing Pasts and Futures</t>
  </si>
  <si>
    <t>https://ebookcentral.proquest.com/lib/cam/detail.action?docID=5215430</t>
  </si>
  <si>
    <t>Beautiful War : Studies in a Dreadful Fascination</t>
  </si>
  <si>
    <t>U21</t>
  </si>
  <si>
    <t>https://ebookcentral.proquest.com/lib/cam/detail.action?docID=4732284</t>
  </si>
  <si>
    <t>Islam Without Europe : Traditions of Reform in Eighteenth-Century Islamic Thought</t>
  </si>
  <si>
    <t>BP55 .D355 2018</t>
  </si>
  <si>
    <t>https://ebookcentral.proquest.com/lib/cam/detail.action?docID=5354304</t>
  </si>
  <si>
    <t>The Black Migrant Athlete : Media, Race, and the Diaspora in Sports</t>
  </si>
  <si>
    <t>GV706.32.M836 2017</t>
  </si>
  <si>
    <t>https://ebookcentral.proquest.com/lib/cam/detail.action?docID=4921960</t>
  </si>
  <si>
    <t>Words: Religious Language Matters</t>
  </si>
  <si>
    <t>BL65.L2</t>
  </si>
  <si>
    <t>https://ebookcentral.proquest.com/lib/cam/detail.action?docID=4512096</t>
  </si>
  <si>
    <t>Hannah Arendt and the Negro Question</t>
  </si>
  <si>
    <t>323.1196/073075</t>
  </si>
  <si>
    <t>JC251.A74.G56 2014eb</t>
  </si>
  <si>
    <t>https://ebookcentral.proquest.com/lib/cam/detail.action?docID=1659372</t>
  </si>
  <si>
    <t>Civilizing the Child : Discourses of Race, Nation, and Child Welfare in America</t>
  </si>
  <si>
    <t>HV741 -- .B855 2014eb</t>
  </si>
  <si>
    <t>https://ebookcentral.proquest.com/lib/cam/detail.action?docID=1574396</t>
  </si>
  <si>
    <t>Public Things : Democracy in Disrepair</t>
  </si>
  <si>
    <t>JC423.H665 2017</t>
  </si>
  <si>
    <t>https://ebookcentral.proquest.com/lib/cam/detail.action?docID=4821738</t>
  </si>
  <si>
    <t>100 Years of European Philosophy since the Great War : Crisis and Reconfigurations</t>
  </si>
  <si>
    <t>https://ebookcentral.proquest.com/lib/cam/detail.action?docID=4806635</t>
  </si>
  <si>
    <t>Romantic Mediations : Media Theory and British Romanticism</t>
  </si>
  <si>
    <t>PR447.B875 2016</t>
  </si>
  <si>
    <t>https://ebookcentral.proquest.com/lib/cam/detail.action?docID=4694643</t>
  </si>
  <si>
    <t>Charlotte Perkins Gilman and a Woman's Place in America</t>
  </si>
  <si>
    <t>818/.409</t>
  </si>
  <si>
    <t>PS1744</t>
  </si>
  <si>
    <t>https://ebookcentral.proquest.com/lib/cam/detail.action?docID=4785183</t>
  </si>
  <si>
    <t>Material Culture Matters : Essays on the Archaeology of the Southern Levant in Honor of Seymour Gitin</t>
  </si>
  <si>
    <t>DS111.1 -- .M384 2014eb</t>
  </si>
  <si>
    <t>https://ebookcentral.proquest.com/lib/cam/detail.action?docID=3155701</t>
  </si>
  <si>
    <t>The Violence of Climate Change : Lessons of Resistance from Nonviolent Activists</t>
  </si>
  <si>
    <t>Science; Science: Physics; Environmental Studies</t>
  </si>
  <si>
    <t>363.738/74</t>
  </si>
  <si>
    <t>QC903.O375 2017</t>
  </si>
  <si>
    <t>https://ebookcentral.proquest.com/lib/cam/detail.action?docID=4873550</t>
  </si>
  <si>
    <t>Adorno in America</t>
  </si>
  <si>
    <t>B3199.A34 -- J46 2007eb</t>
  </si>
  <si>
    <t>https://ebookcentral.proquest.com/lib/cam/detail.action?docID=322591</t>
  </si>
  <si>
    <t>A Century of Transnationalism : Immigrants and Their Homeland Connections</t>
  </si>
  <si>
    <t>JV6035</t>
  </si>
  <si>
    <t>https://ebookcentral.proquest.com/lib/cam/detail.action?docID=4792690</t>
  </si>
  <si>
    <t>The Critical Theory of Axel Honneth</t>
  </si>
  <si>
    <t>B809.3 -- .P487 2013eb</t>
  </si>
  <si>
    <t>https://ebookcentral.proquest.com/lib/cam/detail.action?docID=1486325</t>
  </si>
  <si>
    <t>Levinas and the Trauma of Responsibility : The Ethical Significance of Time</t>
  </si>
  <si>
    <t>B2430.L484 .C64 2018</t>
  </si>
  <si>
    <t>https://ebookcentral.proquest.com/lib/cam/detail.action?docID=5264857</t>
  </si>
  <si>
    <t>From Belonging to Belief : Modern Secularisms and the Construction of Religion in Kyrgyzstan</t>
  </si>
  <si>
    <t>297.2/6095843</t>
  </si>
  <si>
    <t>BP190</t>
  </si>
  <si>
    <t>https://ebookcentral.proquest.com/lib/cam/detail.action?docID=5316890</t>
  </si>
  <si>
    <t>Evolution and the Fall</t>
  </si>
  <si>
    <t>BS659.E965 2017</t>
  </si>
  <si>
    <t>https://ebookcentral.proquest.com/lib/cam/detail.action?docID=4865154</t>
  </si>
  <si>
    <t>The Migrant Canon in Twenty-First-Century France</t>
  </si>
  <si>
    <t>840.9/0092</t>
  </si>
  <si>
    <t>PQ317 .S23 2018</t>
  </si>
  <si>
    <t>https://ebookcentral.proquest.com/lib/cam/detail.action?docID=5303660</t>
  </si>
  <si>
    <t>Thomas Sankara : An African Revolutionary</t>
  </si>
  <si>
    <t>DT555.83.S36H37 2014</t>
  </si>
  <si>
    <t>https://ebookcentral.proquest.com/lib/cam/detail.action?docID=1813358</t>
  </si>
  <si>
    <t>Postcolonialism, Diaspora, and Alternative Histories : The Cinema of Evans Chan</t>
  </si>
  <si>
    <t>PN1995.9.P7 -- .P678 2015eb</t>
  </si>
  <si>
    <t>https://ebookcentral.proquest.com/lib/cam/detail.action?docID=1935079</t>
  </si>
  <si>
    <t>The Spiritualiity of Martyrdom : To the Limits of Love</t>
  </si>
  <si>
    <t>BR1601</t>
  </si>
  <si>
    <t>https://ebookcentral.proquest.com/lib/cam/detail.action?docID=4592426</t>
  </si>
  <si>
    <t>From Revolution to Ethics : May 1968 and Contemporary French Thought</t>
  </si>
  <si>
    <t>306.0944/09045</t>
  </si>
  <si>
    <t>DC420.B687 2017</t>
  </si>
  <si>
    <t>https://ebookcentral.proquest.com/lib/cam/detail.action?docID=5109990</t>
  </si>
  <si>
    <t>Workshops of Empire : Stegner, Engle, and American Creative Writing during the Cold War</t>
  </si>
  <si>
    <t>810.9/3582825</t>
  </si>
  <si>
    <t>https://ebookcentral.proquest.com/lib/cam/detail.action?docID=3570585</t>
  </si>
  <si>
    <t>Willful Submission : Sado-Erotics and Heavenly Marriage in Victorian Religious Poetry</t>
  </si>
  <si>
    <t>PR595.R4 .P398 2017</t>
  </si>
  <si>
    <t>https://ebookcentral.proquest.com/lib/cam/detail.action?docID=5150994</t>
  </si>
  <si>
    <t>The Return of Nature : On the Beyond of Sense</t>
  </si>
  <si>
    <t>BD581.S243 2016</t>
  </si>
  <si>
    <t>https://ebookcentral.proquest.com/lib/cam/detail.action?docID=4674271</t>
  </si>
  <si>
    <t>La Florida : Five Hundred Years of Hispanic Presence</t>
  </si>
  <si>
    <t>F314 -- .F56 2014eb</t>
  </si>
  <si>
    <t>https://ebookcentral.proquest.com/lib/cam/detail.action?docID=1843621</t>
  </si>
  <si>
    <t>Against Immediacy : Video Art and Media Populism</t>
  </si>
  <si>
    <t>777.0973/0904</t>
  </si>
  <si>
    <t>N6512</t>
  </si>
  <si>
    <t>https://ebookcentral.proquest.com/lib/cam/detail.action?docID=4528318</t>
  </si>
  <si>
    <t>Performing Brazil : Essays on Culture, Identity, and the Performing Arts</t>
  </si>
  <si>
    <t>PN2471</t>
  </si>
  <si>
    <t>https://ebookcentral.proquest.com/lib/cam/detail.action?docID=3445437</t>
  </si>
  <si>
    <t>Power : Oppression, Subservience, and Resistance</t>
  </si>
  <si>
    <t>BD438.B44 2016</t>
  </si>
  <si>
    <t>https://ebookcentral.proquest.com/lib/cam/detail.action?docID=4452737</t>
  </si>
  <si>
    <t>A Knight at the Opera : Heine, Wagner, Herzl, Peretz, and the Legacy of Der Tannhäuser</t>
  </si>
  <si>
    <t>ML410.W1 -- A2943 2011eb</t>
  </si>
  <si>
    <t>https://ebookcentral.proquest.com/lib/cam/detail.action?docID=3118985</t>
  </si>
  <si>
    <t>Philosophizing Madness from Nietzsche to Derrida</t>
  </si>
  <si>
    <t>https://ebookcentral.proquest.com/lib/cam/detail.action?docID=4947024</t>
  </si>
  <si>
    <t>Sister Thorn and Catholic Mysticism in Modern America</t>
  </si>
  <si>
    <t>BX4705.R43155.K36 2</t>
  </si>
  <si>
    <t>https://ebookcentral.proquest.com/lib/cam/detail.action?docID=1663539</t>
  </si>
  <si>
    <t>Gaming Representation : Race, Gender, and Sexuality in Video Games</t>
  </si>
  <si>
    <t>306.4/87 794.8</t>
  </si>
  <si>
    <t>GV1469.3.G36 2017</t>
  </si>
  <si>
    <t>https://ebookcentral.proquest.com/lib/cam/detail.action?docID=4980897</t>
  </si>
  <si>
    <t>The Kinsey Institute : The First Seventy Years</t>
  </si>
  <si>
    <t>HQ18.32.K56.K567 2017</t>
  </si>
  <si>
    <t>https://ebookcentral.proquest.com/lib/cam/detail.action?docID=4915566</t>
  </si>
  <si>
    <t>From Warm Center to Ragged Edge : The Erosion of Midwestern Literary and Historical Regionalism, 1920-1965</t>
  </si>
  <si>
    <t>810.9/977</t>
  </si>
  <si>
    <t>PS273</t>
  </si>
  <si>
    <t>https://ebookcentral.proquest.com/lib/cam/detail.action?docID=4842858</t>
  </si>
  <si>
    <t>The Lives in Objects : Native Americans, British Colonists, and Cultures of Labor and Exchange in the Southeast</t>
  </si>
  <si>
    <t>975/.02</t>
  </si>
  <si>
    <t>E78.S65.S747 2017</t>
  </si>
  <si>
    <t>https://ebookcentral.proquest.com/lib/cam/detail.action?docID=4777287</t>
  </si>
  <si>
    <t>Letters to the Contrary : A Curated History of the UNESCO Human Rights Survey</t>
  </si>
  <si>
    <t>K3240 .G663 2018</t>
  </si>
  <si>
    <t>https://ebookcentral.proquest.com/lib/cam/detail.action?docID=5317441</t>
  </si>
  <si>
    <t>Break Beats in the Bronx : Rediscovering Hip-Hop's Early Years</t>
  </si>
  <si>
    <t>ML3531.E966 2017</t>
  </si>
  <si>
    <t>https://ebookcentral.proquest.com/lib/cam/detail.action?docID=4983477</t>
  </si>
  <si>
    <t>Shanghai Gone : Domicide and Defiance in a Chinese Megacity</t>
  </si>
  <si>
    <t>HT169.C62 -- S527 2013eb</t>
  </si>
  <si>
    <t>https://ebookcentral.proquest.com/lib/cam/detail.action?docID=1126494</t>
  </si>
  <si>
    <t>Who Is My Neighbor? : Personalism and the Foundations of Human Rights</t>
  </si>
  <si>
    <t>172/.2</t>
  </si>
  <si>
    <t>https://ebookcentral.proquest.com/lib/cam/detail.action?docID=3134725</t>
  </si>
  <si>
    <t>Eugenics in the Garden : Transatlantic Architecture and the Crafting of Modernity</t>
  </si>
  <si>
    <t>NA2543.S6 .L674 2018</t>
  </si>
  <si>
    <t>https://ebookcentral.proquest.com/lib/cam/detail.action?docID=5181668</t>
  </si>
  <si>
    <t>Night Passages : Philosophy, Literature, and Film</t>
  </si>
  <si>
    <t>PN56.N5 -- B76 2013eb</t>
  </si>
  <si>
    <t>https://ebookcentral.proquest.com/lib/cam/detail.action?docID=1192026</t>
  </si>
  <si>
    <t>Cosmic Pessimism</t>
  </si>
  <si>
    <t>B829 -- .T43 2015eb</t>
  </si>
  <si>
    <t>https://ebookcentral.proquest.com/lib/cam/detail.action?docID=4460110</t>
  </si>
  <si>
    <t>Faculty Development and Student Learning : Assessing the Connections</t>
  </si>
  <si>
    <t>378.1/25</t>
  </si>
  <si>
    <t>LB1738.C55 2016</t>
  </si>
  <si>
    <t>https://ebookcentral.proquest.com/lib/cam/detail.action?docID=4087210</t>
  </si>
  <si>
    <t>Puna Wai Korero : An Anthology of Maori Poetry in English</t>
  </si>
  <si>
    <t>PL6465 -- .P863 2014eb</t>
  </si>
  <si>
    <t>https://ebookcentral.proquest.com/lib/cam/detail.action?docID=1771988</t>
  </si>
  <si>
    <t>God and the Self in Hegel : Beyond Subjectivism</t>
  </si>
  <si>
    <t>B2949.R3.B833 2017</t>
  </si>
  <si>
    <t>https://ebookcentral.proquest.com/lib/cam/detail.action?docID=4908129</t>
  </si>
  <si>
    <t>The African Origin of Civilization : Myth or Reality</t>
  </si>
  <si>
    <t>913.3206;913.320696</t>
  </si>
  <si>
    <t>DT61 -- .D5613 1974eb</t>
  </si>
  <si>
    <t>https://ebookcentral.proquest.com/lib/cam/detail.action?docID=1041105</t>
  </si>
  <si>
    <t>Poetics and Precarity</t>
  </si>
  <si>
    <t>University at Buffalo</t>
  </si>
  <si>
    <t>PN1042.P568 2018 .P648 2018</t>
  </si>
  <si>
    <t>https://ebookcentral.proquest.com/lib/cam/detail.action?docID=5398050</t>
  </si>
  <si>
    <t>European Magic and Witchcraft : A Reader</t>
  </si>
  <si>
    <t>https://ebookcentral.proquest.com/lib/cam/detail.action?docID=5433873</t>
  </si>
  <si>
    <t>Thomas Hobbes and the Natural Law</t>
  </si>
  <si>
    <t>JC153.H66C62 2018</t>
  </si>
  <si>
    <t>https://ebookcentral.proquest.com/lib/cam/detail.action?docID=5310042</t>
  </si>
  <si>
    <t>Recovery's Edge : An Ethnography of Mental Health Care and Moral Agency</t>
  </si>
  <si>
    <t>362.2/2</t>
  </si>
  <si>
    <t>RA790.55 -- .M947 2015eb</t>
  </si>
  <si>
    <t>https://ebookcentral.proquest.com/lib/cam/detail.action?docID=4228970</t>
  </si>
  <si>
    <t>Resistance, Revolt, and Gender Justice in Egypt</t>
  </si>
  <si>
    <t>HQ1793</t>
  </si>
  <si>
    <t>https://ebookcentral.proquest.com/lib/cam/detail.action?docID=4649123</t>
  </si>
  <si>
    <t>Francesco Filelfo and Francesco Sforza : Critical Edition of Filelfo's Sphortias. De genuensium deditione. Oratio parentalis, and his Polemical Exchange with Galeotto Marzio.</t>
  </si>
  <si>
    <t>Georg Olms Verlag</t>
  </si>
  <si>
    <t>ND3161 .T8</t>
  </si>
  <si>
    <t>https://ebookcentral.proquest.com/lib/cam/detail.action?docID=2077328</t>
  </si>
  <si>
    <t>Black French Women and the Struggle for Equality, 1848-2016</t>
  </si>
  <si>
    <t>https://ebookcentral.proquest.com/lib/cam/detail.action?docID=5498044</t>
  </si>
  <si>
    <t>Global Transformations in the Life Sciences, 1945-1980</t>
  </si>
  <si>
    <t>QH305</t>
  </si>
  <si>
    <t>https://ebookcentral.proquest.com/lib/cam/detail.action?docID=5413431</t>
  </si>
  <si>
    <t>Philosophy of Mysticism : Raids on the Ineffable</t>
  </si>
  <si>
    <t>204/.2201</t>
  </si>
  <si>
    <t>B828.J73 2016</t>
  </si>
  <si>
    <t>https://ebookcentral.proquest.com/lib/cam/detail.action?docID=4458124</t>
  </si>
  <si>
    <t>The Lost Territories : Thailand's History of National Humiliation</t>
  </si>
  <si>
    <t>DS578 -- .S83 2015eb</t>
  </si>
  <si>
    <t>https://ebookcentral.proquest.com/lib/cam/detail.action?docID=3413786</t>
  </si>
  <si>
    <t>The Studios after the Studios : Neoclassical Hollywood (1970-2010)</t>
  </si>
  <si>
    <t>Business/Management; Fine Arts</t>
  </si>
  <si>
    <t>384/.80979494</t>
  </si>
  <si>
    <t>https://ebookcentral.proquest.com/lib/cam/detail.action?docID=1990260</t>
  </si>
  <si>
    <t>Shadow Cold War : The Sino-Soviet Competition for the Third World</t>
  </si>
  <si>
    <t>DS740.5.S65 .F74 2015</t>
  </si>
  <si>
    <t>https://ebookcentral.proquest.com/lib/cam/detail.action?docID=4322259</t>
  </si>
  <si>
    <t>Translation in African Contexts : Postcolonial Texts, Queer Sexuality, and Cosmopolitan Fluency</t>
  </si>
  <si>
    <t>PL8010.M836 2017</t>
  </si>
  <si>
    <t>https://ebookcentral.proquest.com/lib/cam/detail.action?docID=5092116</t>
  </si>
  <si>
    <t>Transforming Harry : The Adaptation of Harry Potter in the Transmedia Age</t>
  </si>
  <si>
    <t>PR6068.O93 .T736 2018</t>
  </si>
  <si>
    <t>https://ebookcentral.proquest.com/lib/cam/detail.action?docID=5406181</t>
  </si>
  <si>
    <t>Longing for the Bomb : Oak Ridge and Atomic Nostalgia</t>
  </si>
  <si>
    <t>355.8/25119097309044</t>
  </si>
  <si>
    <t>F444.O3 -- .F74 2015eb</t>
  </si>
  <si>
    <t>https://ebookcentral.proquest.com/lib/cam/detail.action?docID=3039530</t>
  </si>
  <si>
    <t>Alan Watts - in the Academy : Essays and Lectures</t>
  </si>
  <si>
    <t>B945.W321 2017</t>
  </si>
  <si>
    <t>https://ebookcentral.proquest.com/lib/cam/detail.action?docID=4849324</t>
  </si>
  <si>
    <t>The Trial of Galileo : Essential Documents</t>
  </si>
  <si>
    <t>Science; Science: Astronomy</t>
  </si>
  <si>
    <t>QB36.G2 T75 2014</t>
  </si>
  <si>
    <t>https://ebookcentral.proquest.com/lib/cam/detail.action?docID=1773430</t>
  </si>
  <si>
    <t>Telling Migrant Stories : Latin American Diaspora in Documentary Film</t>
  </si>
  <si>
    <t>HD8081.A5 T45</t>
  </si>
  <si>
    <t>https://ebookcentral.proquest.com/lib/cam/detail.action?docID=5264844</t>
  </si>
  <si>
    <t>Anthropology of Africa : Challenges for the 21st Century</t>
  </si>
  <si>
    <t>GN17.3.A35 -- .A584 2015eb</t>
  </si>
  <si>
    <t>https://ebookcentral.proquest.com/lib/cam/detail.action?docID=1963737</t>
  </si>
  <si>
    <t>The Child to Come : Life after the Human Catastrophe</t>
  </si>
  <si>
    <t>GF75.S545 2016</t>
  </si>
  <si>
    <t>https://ebookcentral.proquest.com/lib/cam/detail.action?docID=4525989</t>
  </si>
  <si>
    <t>Adorno's Poetics of Form</t>
  </si>
  <si>
    <t>B3199.A34 .R63 2018</t>
  </si>
  <si>
    <t>https://ebookcentral.proquest.com/lib/cam/detail.action?docID=5399978</t>
  </si>
  <si>
    <t>Transpacific Community : America, China, and the Rise and Fall of a Cultural Network</t>
  </si>
  <si>
    <t>PS221.S63 2016eb</t>
  </si>
  <si>
    <t>https://ebookcentral.proquest.com/lib/cam/detail.action?docID=4518845</t>
  </si>
  <si>
    <t>Science Museums in Transition : Cultures of Display in Nineteenth-Century Britain and America</t>
  </si>
  <si>
    <t>Q105</t>
  </si>
  <si>
    <t>https://ebookcentral.proquest.com/lib/cam/detail.action?docID=4895176</t>
  </si>
  <si>
    <t>Kew Observatory and the Evolution of Victorian Science, 1840-1910</t>
  </si>
  <si>
    <t>522/.194271</t>
  </si>
  <si>
    <t>QB82</t>
  </si>
  <si>
    <t>https://ebookcentral.proquest.com/lib/cam/detail.action?docID=5408855</t>
  </si>
  <si>
    <t>Narrowcast : Poetry and Audio Research</t>
  </si>
  <si>
    <t>PS325 .S539 2018</t>
  </si>
  <si>
    <t>https://ebookcentral.proquest.com/lib/cam/detail.action?docID=5354313</t>
  </si>
  <si>
    <t>Sediments of Time : On Possible Histories</t>
  </si>
  <si>
    <t>D16.8 .K674 2018</t>
  </si>
  <si>
    <t>https://ebookcentral.proquest.com/lib/cam/detail.action?docID=5323686</t>
  </si>
  <si>
    <t>Feminist Disability Studies</t>
  </si>
  <si>
    <t>HV1568.2.F46 2011</t>
  </si>
  <si>
    <t>https://ebookcentral.proquest.com/lib/cam/detail.action?docID=670277</t>
  </si>
  <si>
    <t>A Concise History of Sunnis and Shi'Is</t>
  </si>
  <si>
    <t>BP191 .M348 2018</t>
  </si>
  <si>
    <t>https://ebookcentral.proquest.com/lib/cam/detail.action?docID=5355422</t>
  </si>
  <si>
    <t>The Gift of the Face : Portraiture and Time in Edward S. Curtis's the North American Indian</t>
  </si>
  <si>
    <t>970.004/9700222</t>
  </si>
  <si>
    <t>E77.5 -- .Z36 2014eb</t>
  </si>
  <si>
    <t>https://ebookcentral.proquest.com/lib/cam/detail.action?docID=1663537</t>
  </si>
  <si>
    <t>At the First Table : Food and Social Identity in Early Modern Spain</t>
  </si>
  <si>
    <t>GT2853.S7.C36 2017</t>
  </si>
  <si>
    <t>https://ebookcentral.proquest.com/lib/cam/detail.action?docID=4746666</t>
  </si>
  <si>
    <t>Fashioning Jews : Clothing, Culture, and Commerce</t>
  </si>
  <si>
    <t>GT540 -- .F37 2013eb</t>
  </si>
  <si>
    <t>https://ebookcentral.proquest.com/lib/cam/detail.action?docID=3120607</t>
  </si>
  <si>
    <t>From Androboros to the First Amendment : A History of America's First Play</t>
  </si>
  <si>
    <t>812/.109</t>
  </si>
  <si>
    <t>PS341</t>
  </si>
  <si>
    <t>https://ebookcentral.proquest.com/lib/cam/detail.action?docID=2002085</t>
  </si>
  <si>
    <t>Phoenicia : Episodes and Anecdotes from the Ancient Mediterranean</t>
  </si>
  <si>
    <t>Penn State University Press</t>
  </si>
  <si>
    <t>939.4/4</t>
  </si>
  <si>
    <t>DS81 -- .P43 2014eb</t>
  </si>
  <si>
    <t>https://ebookcentral.proquest.com/lib/cam/detail.action?docID=3155724</t>
  </si>
  <si>
    <t>Frantz Fanon, My Brother : Doctor, Playwright, Revolutionary</t>
  </si>
  <si>
    <t>CT2628.F35 -- .F366 2014eb</t>
  </si>
  <si>
    <t>https://ebookcentral.proquest.com/lib/cam/detail.action?docID=1757682</t>
  </si>
  <si>
    <t>Picturing Technology in China : From Earliest Times to the Nineteenth Century</t>
  </si>
  <si>
    <t>N72.T4 G663 2015</t>
  </si>
  <si>
    <t>https://ebookcentral.proquest.com/lib/cam/detail.action?docID=2188863</t>
  </si>
  <si>
    <t>Care Across Generations : Solidarity and Sacrifice in Transnational Families</t>
  </si>
  <si>
    <t>306.874/5097285</t>
  </si>
  <si>
    <t>JV7426.Y377 2017</t>
  </si>
  <si>
    <t>https://ebookcentral.proquest.com/lib/cam/detail.action?docID=5013691</t>
  </si>
  <si>
    <t>Anti-Judaism, Antisemitism, and Delegitimizing Israel</t>
  </si>
  <si>
    <t>DS145.A5985 2016</t>
  </si>
  <si>
    <t>https://ebookcentral.proquest.com/lib/cam/detail.action?docID=4721315</t>
  </si>
  <si>
    <t>Darwin's Man in Brazil : The Evolving Science of Fritz Müller</t>
  </si>
  <si>
    <t>Science: Biology/Natural History; Science</t>
  </si>
  <si>
    <t>508.092 B</t>
  </si>
  <si>
    <t>QH31.M795 W47 2016</t>
  </si>
  <si>
    <t>https://ebookcentral.proquest.com/lib/cam/detail.action?docID=4530203</t>
  </si>
  <si>
    <t>Eating Soup without a Spoon : Anthropological Theory and Method in the Real World</t>
  </si>
  <si>
    <t>792.089/960730764</t>
  </si>
  <si>
    <t>PN2270.A35M39 2016</t>
  </si>
  <si>
    <t>https://ebookcentral.proquest.com/lib/cam/detail.action?docID=4397277</t>
  </si>
  <si>
    <t>Homer in Performance : Rhapsodes, Narrators, and Characters</t>
  </si>
  <si>
    <t>PA4037 .H664 2018</t>
  </si>
  <si>
    <t>https://ebookcentral.proquest.com/lib/cam/detail.action?docID=5398040</t>
  </si>
  <si>
    <t>Image and Text in Conceptual Art : Critical Operations in Context</t>
  </si>
  <si>
    <t>https://ebookcentral.proquest.com/lib/cam/detail.action?docID=4891409</t>
  </si>
  <si>
    <t>Archives, Objects, Places and Landscapes : Multidisciplinary Approaches to Decolonised Zimbabwean Pasts</t>
  </si>
  <si>
    <t>DT2916.A734 2017</t>
  </si>
  <si>
    <t>https://ebookcentral.proquest.com/lib/cam/detail.action?docID=4865484</t>
  </si>
  <si>
    <t>Circulating Queerness : Before the Gay and Lesbian Novel</t>
  </si>
  <si>
    <t>PS374.H63 .H875 2018</t>
  </si>
  <si>
    <t>https://ebookcentral.proquest.com/lib/cam/detail.action?docID=5424906</t>
  </si>
  <si>
    <t>Networking China : The Digital Transformation of the Chinese Economy</t>
  </si>
  <si>
    <t>HC430</t>
  </si>
  <si>
    <t>https://ebookcentral.proquest.com/lib/cam/detail.action?docID=4792716</t>
  </si>
  <si>
    <t>Writing Not Writing : Poetry, Crisis, and Responsibility</t>
  </si>
  <si>
    <t>811/.509</t>
  </si>
  <si>
    <t>PS323</t>
  </si>
  <si>
    <t>https://ebookcentral.proquest.com/lib/cam/detail.action?docID=4860722</t>
  </si>
  <si>
    <t>The Ahmadiyya in the Gold Coast : Muslim Cosmopolitans in the British Empire</t>
  </si>
  <si>
    <t>BP195.A5H327 2017</t>
  </si>
  <si>
    <t>https://ebookcentral.proquest.com/lib/cam/detail.action?docID=5108229</t>
  </si>
  <si>
    <t>Journey into Europe : Islam, Immigration, and Identity</t>
  </si>
  <si>
    <t>D1056.2.M87 .A364 2018</t>
  </si>
  <si>
    <t>https://ebookcentral.proquest.com/lib/cam/detail.action?docID=5179990</t>
  </si>
  <si>
    <t>Religion As Critique : Islamic Critical Thinking from Mecca to the Marketplace</t>
  </si>
  <si>
    <t>B745.R4 .A363 2017</t>
  </si>
  <si>
    <t>https://ebookcentral.proquest.com/lib/cam/detail.action?docID=5153822</t>
  </si>
  <si>
    <t>Virginia Woolf, the War Without, the War Within : Her Final Diaries and the Diaries She Read</t>
  </si>
  <si>
    <t>PR6045.O72 Z8118 201</t>
  </si>
  <si>
    <t>https://ebookcentral.proquest.com/lib/cam/detail.action?docID=5485319</t>
  </si>
  <si>
    <t>Whitman &amp; Dickinson : A Colloquy</t>
  </si>
  <si>
    <t>PS3238</t>
  </si>
  <si>
    <t>https://ebookcentral.proquest.com/lib/cam/detail.action?docID=5153930</t>
  </si>
  <si>
    <t>In Bed with the Victorians : The Life-Cycle of Working-Class Marriage</t>
  </si>
  <si>
    <t>https://ebookcentral.proquest.com/lib/cam/detail.action?docID=5107724</t>
  </si>
  <si>
    <t>Europe and the Euro : Integration, Crisis and Policies</t>
  </si>
  <si>
    <t>https://ebookcentral.proquest.com/lib/cam/detail.action?docID=4745442</t>
  </si>
  <si>
    <t>Alternatives to State-Socialism in Britain : Other Worlds of Labour in the Twentieth Century</t>
  </si>
  <si>
    <t>Economics; History</t>
  </si>
  <si>
    <t>https://ebookcentral.proquest.com/lib/cam/detail.action?docID=4756755</t>
  </si>
  <si>
    <t>Experiments in Democracy : Interracial and Cross-Cultural Exchange in American Theatre, 1912-1945</t>
  </si>
  <si>
    <t>792.0973/0904</t>
  </si>
  <si>
    <t>PN2266</t>
  </si>
  <si>
    <t>https://ebookcentral.proquest.com/lib/cam/detail.action?docID=4546645</t>
  </si>
  <si>
    <t>Misremembering Dr. King : Revisiting the Legacy of Martin Luther King Jr</t>
  </si>
  <si>
    <t>323.092 B</t>
  </si>
  <si>
    <t>E185.97.K5.Y36 2014</t>
  </si>
  <si>
    <t>https://ebookcentral.proquest.com/lib/cam/detail.action?docID=1586380</t>
  </si>
  <si>
    <t>The Myth of Disenchantment : Magic, Modernity, and the Birth of the Human Sciences</t>
  </si>
  <si>
    <t>001.09/03</t>
  </si>
  <si>
    <t>BF1623</t>
  </si>
  <si>
    <t>https://ebookcentral.proquest.com/lib/cam/detail.action?docID=4827749</t>
  </si>
  <si>
    <t>Sovereign Jews : Israel, Zionism, and Judaism</t>
  </si>
  <si>
    <t>DS149.Y334 2017</t>
  </si>
  <si>
    <t>https://ebookcentral.proquest.com/lib/cam/detail.action?docID=4825019</t>
  </si>
  <si>
    <t>The War on Terror Encyclopedia : From the Rise of Al Qaeda to 9/11 and Beyond</t>
  </si>
  <si>
    <t>HV6432.W37185 2014</t>
  </si>
  <si>
    <t>https://ebookcentral.proquest.com/lib/cam/detail.action?docID=1818235</t>
  </si>
  <si>
    <t>Imagining Histories of Colonial Latin America : Synoptic Methods and Practices</t>
  </si>
  <si>
    <t>F1412.I43 2017</t>
  </si>
  <si>
    <t>https://ebookcentral.proquest.com/lib/cam/detail.action?docID=4874720</t>
  </si>
  <si>
    <t>Civil Wars and Third-Party Interventions in Africa</t>
  </si>
  <si>
    <t>Law; Political Science</t>
  </si>
  <si>
    <t>https://ebookcentral.proquest.com/lib/cam/detail.action?docID=4790565</t>
  </si>
  <si>
    <t>Inter/Nationalism : Decolonizing Native America and Palestine</t>
  </si>
  <si>
    <t>E76.6.S253 2016</t>
  </si>
  <si>
    <t>https://ebookcentral.proquest.com/lib/cam/detail.action?docID=4525955</t>
  </si>
  <si>
    <t>African Music, Power, and Being in Colonial Zimbabwe</t>
  </si>
  <si>
    <t>ML3917.Z55C55 2015</t>
  </si>
  <si>
    <t>https://ebookcentral.proquest.com/lib/cam/detail.action?docID=4012078</t>
  </si>
  <si>
    <t>One Hundred Twenty-One Days</t>
  </si>
  <si>
    <t>Deep Vellum Publishing</t>
  </si>
  <si>
    <t>PT2653.W4</t>
  </si>
  <si>
    <t>https://ebookcentral.proquest.com/lib/cam/detail.action?docID=4471810</t>
  </si>
  <si>
    <t>Studying Arctic Fields : Cultures, Practices, and Environmental Sciences</t>
  </si>
  <si>
    <t>Geography/Travel; Science: General</t>
  </si>
  <si>
    <t>507.2/09719</t>
  </si>
  <si>
    <t>G615 .P694 2017</t>
  </si>
  <si>
    <t>https://ebookcentral.proquest.com/lib/cam/detail.action?docID=5185094</t>
  </si>
  <si>
    <t>Metropolitan Belgrade : Culture and Class in Interwar Yugoslavia</t>
  </si>
  <si>
    <t>History; Business/Management; Economics</t>
  </si>
  <si>
    <t>DR2119</t>
  </si>
  <si>
    <t>https://ebookcentral.proquest.com/lib/cam/detail.action?docID=5425007</t>
  </si>
  <si>
    <t>The Stages of Memory : Reflections on Memorial Art, Loss, and the Spaces Between</t>
  </si>
  <si>
    <t>394/.4</t>
  </si>
  <si>
    <t>GT3390.Y68 2016</t>
  </si>
  <si>
    <t>https://ebookcentral.proquest.com/lib/cam/detail.action?docID=4744439</t>
  </si>
  <si>
    <t>Shadows of a Sunbelt City : The Environment, Racism, and the Knowledge Economy in Austin</t>
  </si>
  <si>
    <t>HT243.U62 -- A9795 2016eb</t>
  </si>
  <si>
    <t>https://ebookcentral.proquest.com/lib/cam/detail.action?docID=4454769</t>
  </si>
  <si>
    <t>The Southern Hospitality Myth : Ethics, Politics, Race, and American Memory</t>
  </si>
  <si>
    <t>F213.S96 2017</t>
  </si>
  <si>
    <t>https://ebookcentral.proquest.com/lib/cam/detail.action?docID=4865005</t>
  </si>
  <si>
    <t>Critical Library Pedagogy Handbook : Essays and Workbook Activities</t>
  </si>
  <si>
    <t>Association of College &amp; Research Libraries</t>
  </si>
  <si>
    <t>028.7071/1</t>
  </si>
  <si>
    <t>ZA3075.C75 2016</t>
  </si>
  <si>
    <t>https://ebookcentral.proquest.com/lib/cam/detail.action?docID=4692824</t>
  </si>
  <si>
    <t>Sharing This Walk : An Ethnography of Prison Life and the PCC in Brazil</t>
  </si>
  <si>
    <t>HV6453.B63.P7313 2016</t>
  </si>
  <si>
    <t>https://ebookcentral.proquest.com/lib/cam/detail.action?docID=4525844</t>
  </si>
  <si>
    <t>Uncommonly Savage : Civil War and Remembrance in Spain and the United States</t>
  </si>
  <si>
    <t>DP269.E723</t>
  </si>
  <si>
    <t>https://ebookcentral.proquest.com/lib/cam/detail.action?docID=1632928</t>
  </si>
  <si>
    <t>Other Pasts, Different Presents, Alternative Futures</t>
  </si>
  <si>
    <t>D210 .B536 2015</t>
  </si>
  <si>
    <t>https://ebookcentral.proquest.com/lib/cam/detail.action?docID=2120320</t>
  </si>
  <si>
    <t>Popular Media in Kenyan History : Fiction and Newspapers As Political Actors</t>
  </si>
  <si>
    <t>History; Journalism</t>
  </si>
  <si>
    <t>https://ebookcentral.proquest.com/lib/cam/detail.action?docID=4810069</t>
  </si>
  <si>
    <t>Alternative Worlds Imagined, 1500-1700 : Essays on Radicalism, Utopianism and Reality</t>
  </si>
  <si>
    <t>https://ebookcentral.proquest.com/lib/cam/detail.action?docID=5042231</t>
  </si>
  <si>
    <t>Free Trades First Missionary : Sir John Bowring in Europe and Asia</t>
  </si>
  <si>
    <t>HF1711 -- .B697 2014eb</t>
  </si>
  <si>
    <t>https://ebookcentral.proquest.com/lib/cam/detail.action?docID=1784664</t>
  </si>
  <si>
    <t>Fascism, Architecture, and the Claiming of Modern Milan, 1922-1943</t>
  </si>
  <si>
    <t>NA1121.M6M38 2014</t>
  </si>
  <si>
    <t>https://ebookcentral.proquest.com/lib/cam/detail.action?docID=4669936</t>
  </si>
  <si>
    <t>City Choreographer : Lawrence Halprin in Urban Renewal America</t>
  </si>
  <si>
    <t>NA9085.H35 -- .H57 2014eb</t>
  </si>
  <si>
    <t>https://ebookcentral.proquest.com/lib/cam/detail.action?docID=1762166</t>
  </si>
  <si>
    <t>Democracy Assistance in Egypt : Risks and Lessons Learned</t>
  </si>
  <si>
    <t>Nova Science Publishers, Incorporated</t>
  </si>
  <si>
    <t>JQ3881 -- .D46 2015eb</t>
  </si>
  <si>
    <t>https://ebookcentral.proquest.com/lib/cam/detail.action?docID=2084789</t>
  </si>
  <si>
    <t>Confronting Memories of World War II : European and Asian Legacies</t>
  </si>
  <si>
    <t>JSI</t>
  </si>
  <si>
    <t>https://ebookcentral.proquest.com/lib/cam/detail.action?docID=3444578</t>
  </si>
  <si>
    <t>Plato's Laughter : Socrates As Satyr and Comical Hero</t>
  </si>
  <si>
    <t>B398.C63 .T366 2017</t>
  </si>
  <si>
    <t>https://ebookcentral.proquest.com/lib/cam/detail.action?docID=5149156</t>
  </si>
  <si>
    <t>Poland in the Irish Nationalist Imagination, 1772-1922 : Anti-Colonialism Within Europe</t>
  </si>
  <si>
    <t>https://ebookcentral.proquest.com/lib/cam/detail.action?docID=4806607</t>
  </si>
  <si>
    <t>Normalizing Occupation : The Politics of Everyday Life in the West Bank Settlements</t>
  </si>
  <si>
    <t>DS110.W47.N67 2017</t>
  </si>
  <si>
    <t>https://ebookcentral.proquest.com/lib/cam/detail.action?docID=4787863</t>
  </si>
  <si>
    <t>Slavoj Zizek and Dialectical Materialism</t>
  </si>
  <si>
    <t>199/.4973</t>
  </si>
  <si>
    <t>https://ebookcentral.proquest.com/lib/cam/detail.action?docID=4096881</t>
  </si>
  <si>
    <t>Irish Women Dramatists : 1908-2001</t>
  </si>
  <si>
    <t>822/.909928709415</t>
  </si>
  <si>
    <t>PR8865.7.W65I75 2014</t>
  </si>
  <si>
    <t>https://ebookcentral.proquest.com/lib/cam/detail.action?docID=4649192</t>
  </si>
  <si>
    <t>The Bible and Early Trinitarian Theology</t>
  </si>
  <si>
    <t>231/.04409015</t>
  </si>
  <si>
    <t>BT109</t>
  </si>
  <si>
    <t>https://ebookcentral.proquest.com/lib/cam/detail.action?docID=5224795</t>
  </si>
  <si>
    <t>Exposition of the Apocalypse</t>
  </si>
  <si>
    <t>228/.07</t>
  </si>
  <si>
    <t>https://ebookcentral.proquest.com/lib/cam/detail.action?docID=4871139</t>
  </si>
  <si>
    <t>Hegel</t>
  </si>
  <si>
    <t>B2948</t>
  </si>
  <si>
    <t>https://ebookcentral.proquest.com/lib/cam/detail.action?docID=2089420</t>
  </si>
  <si>
    <t>Theatre, Globalization and the Cold War</t>
  </si>
  <si>
    <t>https://ebookcentral.proquest.com/lib/cam/detail.action?docID=4871544</t>
  </si>
  <si>
    <t>Sexual Treason in Germany During the First World War</t>
  </si>
  <si>
    <t>https://ebookcentral.proquest.com/lib/cam/detail.action?docID=4852293</t>
  </si>
  <si>
    <t>Amheida II : A Late Romano-Egyptian House in Dakleh Oasis: Amheida House B2</t>
  </si>
  <si>
    <t>DT73.D33B66 2014</t>
  </si>
  <si>
    <t>https://ebookcentral.proquest.com/lib/cam/detail.action?docID=4385461</t>
  </si>
  <si>
    <t>Mourning Nature : Hope at the Heart of Ecological Loss and Grief</t>
  </si>
  <si>
    <t>GE140</t>
  </si>
  <si>
    <t>https://ebookcentral.proquest.com/lib/cam/detail.action?docID=4863095</t>
  </si>
  <si>
    <t>The Age of Noise in Britain : Hearing Modernity</t>
  </si>
  <si>
    <t>Social Science; Engineering: Environmental; Engineering</t>
  </si>
  <si>
    <t>TD893</t>
  </si>
  <si>
    <t>https://ebookcentral.proquest.com/lib/cam/detail.action?docID=4792730</t>
  </si>
  <si>
    <t>Mayoral Collaboration under Nazi Occupation in Belgium, the Netherlands and France, 1938-46</t>
  </si>
  <si>
    <t>https://ebookcentral.proquest.com/lib/cam/detail.action?docID=4697470</t>
  </si>
  <si>
    <t>The Fire and the Tale</t>
  </si>
  <si>
    <t>PN45</t>
  </si>
  <si>
    <t>https://ebookcentral.proquest.com/lib/cam/detail.action?docID=4740713</t>
  </si>
  <si>
    <t>Hollywood's White House : The American Presidency in Film and History</t>
  </si>
  <si>
    <t>PN1995.9.U64 -- H65 2005eb</t>
  </si>
  <si>
    <t>https://ebookcentral.proquest.com/lib/cam/detail.action?docID=848921</t>
  </si>
  <si>
    <t>Tropical Cowboys : Westerns, Violence, and Masculinity in Kinshasa</t>
  </si>
  <si>
    <t>HV6439.C752G66 2016</t>
  </si>
  <si>
    <t>https://ebookcentral.proquest.com/lib/cam/detail.action?docID=4508890</t>
  </si>
  <si>
    <t>West Africa's Women of God : Alinesitoué and the Diola Prophetic Tradition</t>
  </si>
  <si>
    <t>BL2480.D53B383 2015</t>
  </si>
  <si>
    <t>https://ebookcentral.proquest.com/lib/cam/detail.action?docID=4012077</t>
  </si>
  <si>
    <t>Forming God : Divine Anthropomorphism in the Pentateuch</t>
  </si>
  <si>
    <t>222/.106</t>
  </si>
  <si>
    <t>BS1192.6 -- .K53 2014eb</t>
  </si>
  <si>
    <t>https://ebookcentral.proquest.com/lib/cam/detail.action?docID=3155717</t>
  </si>
  <si>
    <t>Democracy and Its Crisis</t>
  </si>
  <si>
    <t>JC423 .G739 2017</t>
  </si>
  <si>
    <t>https://ebookcentral.proquest.com/lib/cam/detail.action?docID=5182515</t>
  </si>
  <si>
    <t>Lived Religion and the Politics Of (in)Tolerance</t>
  </si>
  <si>
    <t>https://ebookcentral.proquest.com/lib/cam/detail.action?docID=4820285</t>
  </si>
  <si>
    <t>Us Versus Them : The United States, Radical Islam, and the Rise of the Green Threat</t>
  </si>
  <si>
    <t>DS63.2.U5L59 2016</t>
  </si>
  <si>
    <t>https://ebookcentral.proquest.com/lib/cam/detail.action?docID=4443592</t>
  </si>
  <si>
    <t>The Experimental Imagination : Literary Knowledge and Science in the British Enlightenment</t>
  </si>
  <si>
    <t>PR448.S32 .C453 2018</t>
  </si>
  <si>
    <t>https://ebookcentral.proquest.com/lib/cam/detail.action?docID=5354314</t>
  </si>
  <si>
    <t>The Jews and the Bible</t>
  </si>
  <si>
    <t>221.6088/296</t>
  </si>
  <si>
    <t>https://ebookcentral.proquest.com/lib/cam/detail.action?docID=1821945</t>
  </si>
  <si>
    <t>Black Revolutionary : William Patterson and the Blobalization of the African American Freedom Struggle</t>
  </si>
  <si>
    <t>https://ebookcentral.proquest.com/lib/cam/detail.action?docID=3414299</t>
  </si>
  <si>
    <t>Israeli Society in the Twenty-First Century : Immigration, Inequality, and Religious Conflict</t>
  </si>
  <si>
    <t>Brandeis University Press</t>
  </si>
  <si>
    <t>HN660</t>
  </si>
  <si>
    <t>https://ebookcentral.proquest.com/lib/cam/detail.action?docID=1882443</t>
  </si>
  <si>
    <t>Judaism and the West : From Hermann Cohen to Joseph Soloveitchik</t>
  </si>
  <si>
    <t>B5800.E75 2016</t>
  </si>
  <si>
    <t>https://ebookcentral.proquest.com/lib/cam/detail.action?docID=4614756</t>
  </si>
  <si>
    <t>Early African Entertainments Abroad : From the Hottentot Venus to Africa's First Olympians</t>
  </si>
  <si>
    <t>https://ebookcentral.proquest.com/lib/cam/detail.action?docID=3445422</t>
  </si>
  <si>
    <t>New Italian Migrations to the United States : Vol. 2: Art and Culture Since 1945</t>
  </si>
  <si>
    <t>https://ebookcentral.proquest.com/lib/cam/detail.action?docID=5124750</t>
  </si>
  <si>
    <t>Irish Ethnologies</t>
  </si>
  <si>
    <t>DA927.I757 2017</t>
  </si>
  <si>
    <t>https://ebookcentral.proquest.com/lib/cam/detail.action?docID=5047227</t>
  </si>
  <si>
    <t>The Servant Class City : Urban Revitalization versus the Working Poor in San Diego</t>
  </si>
  <si>
    <t>HT178.D54 -- .K375 2016eb</t>
  </si>
  <si>
    <t>https://ebookcentral.proquest.com/lib/cam/detail.action?docID=4525953</t>
  </si>
  <si>
    <t>Sensing Chicago : Noisemakers, Strikebreakers, and Muckrakers</t>
  </si>
  <si>
    <t>977.3/1103</t>
  </si>
  <si>
    <t>https://ebookcentral.proquest.com/lib/cam/detail.action?docID=3440671</t>
  </si>
  <si>
    <t>Political Culture in Spanish America, 1500–1830</t>
  </si>
  <si>
    <t>F1410 .R637 2017</t>
  </si>
  <si>
    <t>https://ebookcentral.proquest.com/lib/cam/detail.action?docID=5183394</t>
  </si>
  <si>
    <t>Learning Through Dialogue : The Relevance of Martin Buber's Classroom</t>
  </si>
  <si>
    <t>R&amp;L Education</t>
  </si>
  <si>
    <t>LB775.B7493 -- K73 2013eb</t>
  </si>
  <si>
    <t>https://ebookcentral.proquest.com/lib/cam/detail.action?docID=1172354</t>
  </si>
  <si>
    <t>Circle of Socrates : Readings in the First-Generation Socratics</t>
  </si>
  <si>
    <t>183/.2</t>
  </si>
  <si>
    <t>B171 -- .C57 2013eb</t>
  </si>
  <si>
    <t>https://ebookcentral.proquest.com/lib/cam/detail.action?docID=1153287</t>
  </si>
  <si>
    <t>Occupy Pynchon : Politics after Gravity's Rainbow</t>
  </si>
  <si>
    <t>PS3566.Y55</t>
  </si>
  <si>
    <t>https://ebookcentral.proquest.com/lib/cam/detail.action?docID=4851830</t>
  </si>
  <si>
    <t>Transnationalism and German-Language Literature in the Twenty-First Century</t>
  </si>
  <si>
    <t>https://ebookcentral.proquest.com/lib/cam/detail.action?docID=4815412</t>
  </si>
  <si>
    <t>Confronting Evil : The Psychology of Secularization in Modern French Literature</t>
  </si>
  <si>
    <t>PQ307.E87 -- .P69 2016eb</t>
  </si>
  <si>
    <t>https://ebookcentral.proquest.com/lib/cam/detail.action?docID=4516857</t>
  </si>
  <si>
    <t>Public Pages : Reading along the Latin American Streetscape</t>
  </si>
  <si>
    <t>374/.0124098</t>
  </si>
  <si>
    <t>LC155.L3 .S393 2018</t>
  </si>
  <si>
    <t>https://ebookcentral.proquest.com/lib/cam/detail.action?docID=5264869</t>
  </si>
  <si>
    <t>New Italian Migrations to the United States : Vol. 1: Politics and History Since 1945</t>
  </si>
  <si>
    <t>973/.0451</t>
  </si>
  <si>
    <t>https://ebookcentral.proquest.com/lib/cam/detail.action?docID=4843901</t>
  </si>
  <si>
    <t>The French Army and Its African Soldiers : The Years of Decolonization</t>
  </si>
  <si>
    <t>UA709.G55 2017</t>
  </si>
  <si>
    <t>https://ebookcentral.proquest.com/lib/cam/detail.action?docID=4745968</t>
  </si>
  <si>
    <t>Between History and Philosophy : Anecdotes in Early China</t>
  </si>
  <si>
    <t>895.18/02</t>
  </si>
  <si>
    <t>PN6267.C5.B489 2017</t>
  </si>
  <si>
    <t>https://ebookcentral.proquest.com/lib/cam/detail.action?docID=4983435</t>
  </si>
  <si>
    <t>The Voice of Technology : Soviet Cinema's Transition to Sound, 1928-1935</t>
  </si>
  <si>
    <t>PN1993.5.R9 .K343 2018</t>
  </si>
  <si>
    <t>https://ebookcentral.proquest.com/lib/cam/detail.action?docID=5321522</t>
  </si>
  <si>
    <t>Octave Mirbeau's Fictions of the Transcendental</t>
  </si>
  <si>
    <t>PQ2364.M7 -- .Z95 2015eb</t>
  </si>
  <si>
    <t>https://ebookcentral.proquest.com/lib/cam/detail.action?docID=2033818</t>
  </si>
  <si>
    <t>Indigenous Languages, Politics, and Authority in Latin America : Historical and Ethnographic Perspectives</t>
  </si>
  <si>
    <t>P119.32.S63 .I535 2018</t>
  </si>
  <si>
    <t>https://ebookcentral.proquest.com/lib/cam/detail.action?docID=5377980</t>
  </si>
  <si>
    <t>Fired Clay in Four Porcelain Clusters : A Comparative Study of Energy Use, Production/Environmental Ecology, and Kiln Development in Arita, Hong Kong, Jingdezhen, and Yingge</t>
  </si>
  <si>
    <t>Engineering; Engineering: Mechanical; Fine Arts</t>
  </si>
  <si>
    <t>TJ163.4.A78 -- .L56 2014eb</t>
  </si>
  <si>
    <t>https://ebookcentral.proquest.com/lib/cam/detail.action?docID=1782687</t>
  </si>
  <si>
    <t>Mulatto Republic : Class, Race, and Dominican National Identity</t>
  </si>
  <si>
    <t>F1941.A1M39 2014</t>
  </si>
  <si>
    <t>https://ebookcentral.proquest.com/lib/cam/detail.action?docID=1604814</t>
  </si>
  <si>
    <t>Kierkegaard's God and the Good Life</t>
  </si>
  <si>
    <t>B4377.K547 2017</t>
  </si>
  <si>
    <t>https://ebookcentral.proquest.com/lib/cam/detail.action?docID=5041703</t>
  </si>
  <si>
    <t>The Paradox of Paternalism : Women and the Politics of Authoritarianism in the Dominican Republic</t>
  </si>
  <si>
    <t>HD8428.M365 2017</t>
  </si>
  <si>
    <t>https://ebookcentral.proquest.com/lib/cam/detail.action?docID=4825782</t>
  </si>
  <si>
    <t>Nuns Navigating the Spanish Empire</t>
  </si>
  <si>
    <t>BX1584.O946 2017</t>
  </si>
  <si>
    <t>https://ebookcentral.proquest.com/lib/cam/detail.action?docID=4874722</t>
  </si>
  <si>
    <t>El Eternauta, Daytripper, and Beyond : Graphic Narrative in Argentina and Brazil</t>
  </si>
  <si>
    <t>Fine Arts; Literature; Fiction</t>
  </si>
  <si>
    <t>741.5/982</t>
  </si>
  <si>
    <t>PN6790.A7.F678 2016</t>
  </si>
  <si>
    <t>https://ebookcentral.proquest.com/lib/cam/detail.action?docID=4770549</t>
  </si>
  <si>
    <t>The Worlds of the Seventeenth-Century Hudson Valley</t>
  </si>
  <si>
    <t>974.7/3</t>
  </si>
  <si>
    <t>F127.H8 -- .W95 2014eb</t>
  </si>
  <si>
    <t>https://ebookcentral.proquest.com/lib/cam/detail.action?docID=3408877</t>
  </si>
  <si>
    <t>Gratian's Tractatus de Penitentia : A New Latin Edition with English Translation</t>
  </si>
  <si>
    <t>KBR1362</t>
  </si>
  <si>
    <t>https://ebookcentral.proquest.com/lib/cam/detail.action?docID=4614611</t>
  </si>
  <si>
    <t>Bad Girls and Transgressive Women in Popular Television, Fiction, and Film</t>
  </si>
  <si>
    <t>https://ebookcentral.proquest.com/lib/cam/detail.action?docID=4898712</t>
  </si>
  <si>
    <t>Alternative Projections : Experimental Film in Los Angeles, 1945-1980</t>
  </si>
  <si>
    <t>791.43/6110973</t>
  </si>
  <si>
    <t>PN1995.9.E96.A48 2015</t>
  </si>
  <si>
    <t>https://ebookcentral.proquest.com/lib/cam/detail.action?docID=2027047</t>
  </si>
  <si>
    <t>Singular Case : Debating China's Political Economy in the European Enlightenment</t>
  </si>
  <si>
    <t>HC427.8.M555 2017</t>
  </si>
  <si>
    <t>https://ebookcentral.proquest.com/lib/cam/detail.action?docID=4809907</t>
  </si>
  <si>
    <t>Gender and the Abjection of Blackness</t>
  </si>
  <si>
    <t>HQ1201 .B83 2018</t>
  </si>
  <si>
    <t>https://ebookcentral.proquest.com/lib/cam/detail.action?docID=5399982</t>
  </si>
  <si>
    <t>Encyclopedia of the Zombie : The Walking Dead in Popular Culture and Myth</t>
  </si>
  <si>
    <t>GR581.E53 2014</t>
  </si>
  <si>
    <t>https://ebookcentral.proquest.com/lib/cam/detail.action?docID=1781076</t>
  </si>
  <si>
    <t>Ten Thousand Years of Inequality : The Archaeology of Wealth Differences</t>
  </si>
  <si>
    <t>CC72</t>
  </si>
  <si>
    <t>https://ebookcentral.proquest.com/lib/cam/detail.action?docID=5264856</t>
  </si>
  <si>
    <t>Enclave to Urbanity : Canton, Foreigners, and Architecture from the Late Eighteenth to the Early Twentieth Centuries</t>
  </si>
  <si>
    <t>NA1540.F377 2016</t>
  </si>
  <si>
    <t>https://ebookcentral.proquest.com/lib/cam/detail.action?docID=4592526</t>
  </si>
  <si>
    <t>The Moral Power of Money : Morality and Economy in the Life of the Poor</t>
  </si>
  <si>
    <t>Economics; Business/Management; Social Science</t>
  </si>
  <si>
    <t>HV4070.B84 .W55 2018</t>
  </si>
  <si>
    <t>https://ebookcentral.proquest.com/lib/cam/detail.action?docID=5178035</t>
  </si>
  <si>
    <t>A Prophetic Trajectory : Ideologies of Place, Time and Belonging in an Angolan Religious Movement</t>
  </si>
  <si>
    <t>289.9/309673</t>
  </si>
  <si>
    <t>BR1447.25 .B53 2014</t>
  </si>
  <si>
    <t>https://ebookcentral.proquest.com/lib/cam/detail.action?docID=1375285</t>
  </si>
  <si>
    <t>When Sex Threatened the State : Illicit Sexuality, Nationalism, and Politics in Colonial Nigeria, 1900-1958</t>
  </si>
  <si>
    <t>306.740966909/04</t>
  </si>
  <si>
    <t>HQ18</t>
  </si>
  <si>
    <t>https://ebookcentral.proquest.com/lib/cam/detail.action?docID=3414456</t>
  </si>
  <si>
    <t>Deviance: Theories on Behaviors That Defy Social Norms</t>
  </si>
  <si>
    <t>Medicine; Social Science</t>
  </si>
  <si>
    <t>HM811 .D532 2015</t>
  </si>
  <si>
    <t>https://ebookcentral.proquest.com/lib/cam/detail.action?docID=2075492</t>
  </si>
  <si>
    <t>On Difficulties in Sacred Scripture : The Responses to Thalassios</t>
  </si>
  <si>
    <t>https://ebookcentral.proquest.com/lib/cam/detail.action?docID=5398052</t>
  </si>
  <si>
    <t>Jim Crow Terminals : The Desegregation of American Airports</t>
  </si>
  <si>
    <t>HE9797.5.U5.O77 2017</t>
  </si>
  <si>
    <t>https://ebookcentral.proquest.com/lib/cam/detail.action?docID=4946507</t>
  </si>
  <si>
    <t>Measured Words : Computation and Writing in Renaissance Italy</t>
  </si>
  <si>
    <t>General Works/Reference; Mathematics</t>
  </si>
  <si>
    <t>QA41.7 .S253 2017</t>
  </si>
  <si>
    <t>https://ebookcentral.proquest.com/lib/cam/detail.action?docID=5171115</t>
  </si>
  <si>
    <t>Mammalian Evolutionary Morphology : A Tribute to Frederick S. Szalay</t>
  </si>
  <si>
    <t>Science: Geology; Science: Zoology; Science</t>
  </si>
  <si>
    <t>GB3-5030</t>
  </si>
  <si>
    <t>https://ebookcentral.proquest.com/lib/cam/detail.action?docID=372216</t>
  </si>
  <si>
    <t>Wrongful Deaths : Selected Inquest Records from Nineteenth-Century Korea</t>
  </si>
  <si>
    <t>DS915.15 -- .K57 2014eb</t>
  </si>
  <si>
    <t>https://ebookcentral.proquest.com/lib/cam/detail.action?docID=3444571</t>
  </si>
  <si>
    <t>Cities of Refuge : German Jews in London and New York, 1935-1945</t>
  </si>
  <si>
    <t>305.892/4042109043</t>
  </si>
  <si>
    <t>DS135.E55 .B545 2018</t>
  </si>
  <si>
    <t>https://ebookcentral.proquest.com/lib/cam/detail.action?docID=5322489</t>
  </si>
  <si>
    <t>On the Mediterranean and the Nile : The Jews of Egypt</t>
  </si>
  <si>
    <t>DS135.E4 .I873 2018</t>
  </si>
  <si>
    <t>https://ebookcentral.proquest.com/lib/cam/detail.action?docID=5327243</t>
  </si>
  <si>
    <t>The Nature of Masculinity : Critical Theory, New Materialisms, and Technologies of Embodiment</t>
  </si>
  <si>
    <t>HQ1090.G375 2016</t>
  </si>
  <si>
    <t>https://ebookcentral.proquest.com/lib/cam/detail.action?docID=4689304</t>
  </si>
  <si>
    <t>Syphilis in Victorian Literature and Culture : Medicine, Knowledge and the Spectacle of Victorian Invisibility</t>
  </si>
  <si>
    <t>Social Science; Health; Literature</t>
  </si>
  <si>
    <t>https://ebookcentral.proquest.com/lib/cam/detail.action?docID=4874019</t>
  </si>
  <si>
    <t>Modernism and Opera</t>
  </si>
  <si>
    <t>782.109/04</t>
  </si>
  <si>
    <t>ML1705.M63 2016</t>
  </si>
  <si>
    <t>https://ebookcentral.proquest.com/lib/cam/detail.action?docID=4531467</t>
  </si>
  <si>
    <t>Brokering Peace in Nuclear Environments : U. S. Crisis Management in South Asia</t>
  </si>
  <si>
    <t>JZ6009.S64.Y87 2018</t>
  </si>
  <si>
    <t>https://ebookcentral.proquest.com/lib/cam/detail.action?docID=5327255</t>
  </si>
  <si>
    <t>Stereotypes and Self-Representations of Women with a Muslim Background : The Stigma of Being Oppressed</t>
  </si>
  <si>
    <t>https://ebookcentral.proquest.com/lib/cam/detail.action?docID=4773913</t>
  </si>
  <si>
    <t>City of the Soul : Rome and the Romantics</t>
  </si>
  <si>
    <t>945.6/3208</t>
  </si>
  <si>
    <t>DG807</t>
  </si>
  <si>
    <t>https://ebookcentral.proquest.com/lib/cam/detail.action?docID=4546985</t>
  </si>
  <si>
    <t>Julius Nyerere</t>
  </si>
  <si>
    <t>DT448.25.N9B542 2017</t>
  </si>
  <si>
    <t>https://ebookcentral.proquest.com/lib/cam/detail.action?docID=4865687</t>
  </si>
  <si>
    <t>A Place to Call Home : Immigrant Exclusion and Urban Belonging in New York, Paris, and Barcelona</t>
  </si>
  <si>
    <t>JV7048 .C378 2018</t>
  </si>
  <si>
    <t>https://ebookcentral.proquest.com/lib/cam/detail.action?docID=5347141</t>
  </si>
  <si>
    <t>We Are All Migrants : Political Action and the Ubiquitous Condition of Migrant-Hood</t>
  </si>
  <si>
    <t>323.3/2912</t>
  </si>
  <si>
    <t>JA74</t>
  </si>
  <si>
    <t>https://ebookcentral.proquest.com/lib/cam/detail.action?docID=2035598</t>
  </si>
  <si>
    <t>Rules, Paper, Status : Migrants and Precarious Bureaucracy in Contemporary Italy</t>
  </si>
  <si>
    <t>JV8132 .T835 2018</t>
  </si>
  <si>
    <t>https://ebookcentral.proquest.com/lib/cam/detail.action?docID=5377559</t>
  </si>
  <si>
    <t>The Long Take : Art Cinema and the Wondrous</t>
  </si>
  <si>
    <t>PN1995 .K647 2017</t>
  </si>
  <si>
    <t>https://ebookcentral.proquest.com/lib/cam/detail.action?docID=5161251</t>
  </si>
  <si>
    <t>Nishida Kitarō's Chiasmatic Chorology : Place of Dialectic, Dialectic of Place</t>
  </si>
  <si>
    <t>B5244.N554.K78 2015</t>
  </si>
  <si>
    <t>https://ebookcentral.proquest.com/lib/cam/detail.action?docID=2198469</t>
  </si>
  <si>
    <t>Animal Skins and the Reading Self in Medieval Latin and French Bestiaries</t>
  </si>
  <si>
    <t>809/.93362</t>
  </si>
  <si>
    <t>PA8275</t>
  </si>
  <si>
    <t>https://ebookcentral.proquest.com/lib/cam/detail.action?docID=4789523</t>
  </si>
  <si>
    <t>Landscape of Discontent : Urban Sustainability in Immigrant Paris</t>
  </si>
  <si>
    <t>307.760944/361</t>
  </si>
  <si>
    <t>HT243.F72 -- .N496 2015eb</t>
  </si>
  <si>
    <t>https://ebookcentral.proquest.com/lib/cam/detail.action?docID=2011452</t>
  </si>
  <si>
    <t>Beyond the Kale : Urban Agriculture and Social Justice Activism in New York City</t>
  </si>
  <si>
    <t>Social Science; Agriculture</t>
  </si>
  <si>
    <t>S451.N7</t>
  </si>
  <si>
    <t>https://ebookcentral.proquest.com/lib/cam/detail.action?docID=4625364</t>
  </si>
  <si>
    <t>Books in Motion in Early Modern Europe : Beyond Production, Circulation and Consumption</t>
  </si>
  <si>
    <t>https://ebookcentral.proquest.com/lib/cam/detail.action?docID=5041563</t>
  </si>
  <si>
    <t>The Downfall of Abba Hillel Silver and the Foundation of Israel</t>
  </si>
  <si>
    <t>320.54095694092 B</t>
  </si>
  <si>
    <t>BM755.S544S55 2014</t>
  </si>
  <si>
    <t>https://ebookcentral.proquest.com/lib/cam/detail.action?docID=3410178</t>
  </si>
  <si>
    <t>Catholic Social Teaching and Pope Benedict XVI</t>
  </si>
  <si>
    <t>BX1378.6 -- .C877 2014eb</t>
  </si>
  <si>
    <t>https://ebookcentral.proquest.com/lib/cam/detail.action?docID=1635471</t>
  </si>
  <si>
    <t>To Belong in Buenos Aires : Germans, Argentines, and the Rise of a Pluralist Society</t>
  </si>
  <si>
    <t>F3001.9.G3 .B79 2018</t>
  </si>
  <si>
    <t>https://ebookcentral.proquest.com/lib/cam/detail.action?docID=5178037</t>
  </si>
  <si>
    <t>Beyond Forty Acres and a Mule : African American Landowning Families since Reconstruction</t>
  </si>
  <si>
    <t>305.5/6308996073075</t>
  </si>
  <si>
    <t>E185.6 -- .B49 2012eb</t>
  </si>
  <si>
    <t>https://ebookcentral.proquest.com/lib/cam/detail.action?docID=1026587</t>
  </si>
  <si>
    <t>Confucianism and American Philosophy</t>
  </si>
  <si>
    <t>B127.C65.F687 2017</t>
  </si>
  <si>
    <t>https://ebookcentral.proquest.com/lib/cam/detail.action?docID=4825018</t>
  </si>
  <si>
    <t>Climate Change Mitigation : A Balanced Approach to Climate Change</t>
  </si>
  <si>
    <t>Praxis</t>
  </si>
  <si>
    <t>Science: Physics; Environmental Studies; Science</t>
  </si>
  <si>
    <t>QC71.82-73.8</t>
  </si>
  <si>
    <t>https://ebookcentral.proquest.com/lib/cam/detail.action?docID=994206</t>
  </si>
  <si>
    <t>Long Past Slavery : Representing Race in the Federal Writers' Project</t>
  </si>
  <si>
    <t>E185.625.S763 2016</t>
  </si>
  <si>
    <t>https://ebookcentral.proquest.com/lib/cam/detail.action?docID=4443593</t>
  </si>
  <si>
    <t>The Stars of Ballymenone, New Edition</t>
  </si>
  <si>
    <t>941.6/3</t>
  </si>
  <si>
    <t>DA995.B15.G53 2006eb</t>
  </si>
  <si>
    <t>https://ebookcentral.proquest.com/lib/cam/detail.action?docID=4660585</t>
  </si>
  <si>
    <t>Plotinus Ennead IV. 8 : on the Descent of the Soul into Bodies : Translation with an Introduction and Commentary</t>
  </si>
  <si>
    <t>Parmenides Publishing</t>
  </si>
  <si>
    <t>186/.4</t>
  </si>
  <si>
    <t>B693.E52 -- E5 2012eb</t>
  </si>
  <si>
    <t>https://ebookcentral.proquest.com/lib/cam/detail.action?docID=3384757</t>
  </si>
  <si>
    <t>Choices : Inside the Making of Indias Foreign Policy</t>
  </si>
  <si>
    <t>DS449.M46 2016</t>
  </si>
  <si>
    <t>https://ebookcentral.proquest.com/lib/cam/detail.action?docID=4551636</t>
  </si>
  <si>
    <t>The End of Intelligence : Espionage and State Power in the Information Age</t>
  </si>
  <si>
    <t>JF1525</t>
  </si>
  <si>
    <t>https://ebookcentral.proquest.com/lib/cam/detail.action?docID=1741820</t>
  </si>
  <si>
    <t>Freedom and Resistance : A Social History of Black Loyalists in the Bahamas</t>
  </si>
  <si>
    <t>F1660.B55 C87 2017</t>
  </si>
  <si>
    <t>https://ebookcentral.proquest.com/lib/cam/detail.action?docID=4825778</t>
  </si>
  <si>
    <t>All the Boundaries of the Land : The Promised Land in Biblical Thought in Light of the Ancient Near East</t>
  </si>
  <si>
    <t>221.9/1</t>
  </si>
  <si>
    <t>BS1199.P26 -- W3913 2013eb</t>
  </si>
  <si>
    <t>https://ebookcentral.proquest.com/lib/cam/detail.action?docID=3155685</t>
  </si>
  <si>
    <t>Reading Popular Newtonianism : Print, the Principia, and the Dissemination of Newtonian Science</t>
  </si>
  <si>
    <t>Science; Mathematics; Science: Physics</t>
  </si>
  <si>
    <t>QA803 .M55 2017</t>
  </si>
  <si>
    <t>https://ebookcentral.proquest.com/lib/cam/detail.action?docID=5376624</t>
  </si>
  <si>
    <t>Infant Weeping in Akkadian, Hebrew, and Greek Literature</t>
  </si>
  <si>
    <t>809/.93354</t>
  </si>
  <si>
    <t>PJ3791.B679 2016</t>
  </si>
  <si>
    <t>https://ebookcentral.proquest.com/lib/cam/detail.action?docID=4772163</t>
  </si>
  <si>
    <t>The Resilience of Southern Identity : Why the South Still Matters in the Minds of Its People</t>
  </si>
  <si>
    <t>F209.C636 2017</t>
  </si>
  <si>
    <t>https://ebookcentral.proquest.com/lib/cam/detail.action?docID=4799495</t>
  </si>
  <si>
    <t>Thomas Nast, Political Cartoonist : Political Cartoonist</t>
  </si>
  <si>
    <t>NC1429.N3 -- .V5 2014eb</t>
  </si>
  <si>
    <t>https://ebookcentral.proquest.com/lib/cam/detail.action?docID=1698731</t>
  </si>
  <si>
    <t>Blood and Faith : Christianity in American White Nationalism</t>
  </si>
  <si>
    <t>277.3/082</t>
  </si>
  <si>
    <t>BR516 .B397 2017</t>
  </si>
  <si>
    <t>https://ebookcentral.proquest.com/lib/cam/detail.action?docID=5192731</t>
  </si>
  <si>
    <t>Subprime Health : Debt and Race in U. S. Medicine</t>
  </si>
  <si>
    <t>RA448.5.N4.S837 2017</t>
  </si>
  <si>
    <t>https://ebookcentral.proquest.com/lib/cam/detail.action?docID=4987207</t>
  </si>
  <si>
    <t>Outsourced Children : Orphanage Care and Adoption in Globalizing China</t>
  </si>
  <si>
    <t>HV1317</t>
  </si>
  <si>
    <t>https://ebookcentral.proquest.com/lib/cam/detail.action?docID=4643571</t>
  </si>
  <si>
    <t>The Mystery of Evil : Benedict XVI and the End of Days</t>
  </si>
  <si>
    <t>BX1378.6.A336 2017</t>
  </si>
  <si>
    <t>https://ebookcentral.proquest.com/lib/cam/detail.action?docID=4865473</t>
  </si>
  <si>
    <t>Atlantic Bonds : A Nineteenth-Century Odyssey from America to Africa</t>
  </si>
  <si>
    <t>966.9/201092 B</t>
  </si>
  <si>
    <t>CT2528.V38.L56 2017</t>
  </si>
  <si>
    <t>https://ebookcentral.proquest.com/lib/cam/detail.action?docID=4777284</t>
  </si>
  <si>
    <t>Sustainability</t>
  </si>
  <si>
    <t>MIT Press</t>
  </si>
  <si>
    <t>338.9/27</t>
  </si>
  <si>
    <t>HC79.E5 -- P66925 2015eb</t>
  </si>
  <si>
    <t>https://ebookcentral.proquest.com/lib/cam/detail.action?docID=4397950</t>
  </si>
  <si>
    <t>Souffles-Anfas : A Critical Anthology from the Moroccan Journal of Culture and Politics</t>
  </si>
  <si>
    <t>840.8/0964</t>
  </si>
  <si>
    <t>PQ3989</t>
  </si>
  <si>
    <t>https://ebookcentral.proquest.com/lib/cam/detail.action?docID=4414738</t>
  </si>
  <si>
    <t>Bede and Aethelthryth : An Introduction to Christian Latin Poetics</t>
  </si>
  <si>
    <t>871/.02</t>
  </si>
  <si>
    <t>BR746</t>
  </si>
  <si>
    <t>https://ebookcentral.proquest.com/lib/cam/detail.action?docID=4540303</t>
  </si>
  <si>
    <t>No Rule of Law, No Democracy : Conflicts of Interest, Corruption, and Elections As Democratic Deficits</t>
  </si>
  <si>
    <t>JN96.A56.N536</t>
  </si>
  <si>
    <t>https://ebookcentral.proquest.com/lib/cam/detail.action?docID=4742735</t>
  </si>
  <si>
    <t>Coming Too Late : Reflections on Freud and Belatedness</t>
  </si>
  <si>
    <t>150.19/52</t>
  </si>
  <si>
    <t>BF723.P25.B376 2017</t>
  </si>
  <si>
    <t>https://ebookcentral.proquest.com/lib/cam/detail.action?docID=4908128</t>
  </si>
  <si>
    <t>Main Street Movies : The History of Local Film in the United States</t>
  </si>
  <si>
    <t>https://ebookcentral.proquest.com/lib/cam/detail.action?docID=5247209</t>
  </si>
  <si>
    <t>Collecting, Curating, and Researching Writers' Libraries : A Handbook</t>
  </si>
  <si>
    <t>Z1039.A87 -- .C65 2014eb</t>
  </si>
  <si>
    <t>https://ebookcentral.proquest.com/lib/cam/detail.action?docID=1699241</t>
  </si>
  <si>
    <t>After the Paris Attacks : Responses in Canada, Europe, and Around the Globe</t>
  </si>
  <si>
    <t>HV6433.F7</t>
  </si>
  <si>
    <t>https://ebookcentral.proquest.com/lib/cam/detail.action?docID=4669837</t>
  </si>
  <si>
    <t>The Banshees : A Literary History of Irish American Women Writers</t>
  </si>
  <si>
    <t>PS153.I78.E44 2013eb</t>
  </si>
  <si>
    <t>https://ebookcentral.proquest.com/lib/cam/detail.action?docID=3410153</t>
  </si>
  <si>
    <t>Jerónimo Antonio Gil and the Idea of the Spanish Enlightenment</t>
  </si>
  <si>
    <t>NE702.G55.D663 2017</t>
  </si>
  <si>
    <t>https://ebookcentral.proquest.com/lib/cam/detail.action?docID=4744156</t>
  </si>
  <si>
    <t>Y K Pao : My Father</t>
  </si>
  <si>
    <t>HC426.5.P36 -- .S646 2013eb</t>
  </si>
  <si>
    <t>https://ebookcentral.proquest.com/lib/cam/detail.action?docID=1697056</t>
  </si>
  <si>
    <t>The Base of the Pyramid Promise : Building Businesses with Impact and Scale</t>
  </si>
  <si>
    <t>HD60</t>
  </si>
  <si>
    <t>https://ebookcentral.proquest.com/lib/cam/detail.action?docID=4414771</t>
  </si>
  <si>
    <t>Songs That Make the Road Dance : Courtship and Fertility Music of the Tz'utujil Maya</t>
  </si>
  <si>
    <t>305.897/4207281</t>
  </si>
  <si>
    <t>F1465.2.T9 -- .O33 2015eb</t>
  </si>
  <si>
    <t>https://ebookcentral.proquest.com/lib/cam/detail.action?docID=3443756</t>
  </si>
  <si>
    <t>Against Labor : How U. S. Employers Organized to Defeat Union Activism</t>
  </si>
  <si>
    <t>https://ebookcentral.proquest.com/lib/cam/detail.action?docID=4843906</t>
  </si>
  <si>
    <t>Our Only World : Ten Essays</t>
  </si>
  <si>
    <t>HN59.2 -- .B469 2015eb</t>
  </si>
  <si>
    <t>https://ebookcentral.proquest.com/lib/cam/detail.action?docID=1891063</t>
  </si>
  <si>
    <t>The Fate of Transcendentalism : Secularity, Materiality, and Human Flourishing</t>
  </si>
  <si>
    <t>B905 .R66 2017</t>
  </si>
  <si>
    <t>https://ebookcentral.proquest.com/lib/cam/detail.action?docID=5108579</t>
  </si>
  <si>
    <t>Screening Modern Irish Fiction and Drama</t>
  </si>
  <si>
    <t>https://ebookcentral.proquest.com/lib/cam/detail.action?docID=4756423</t>
  </si>
  <si>
    <t>Being Together in Place : Indigenous Coexistence in a More Than Human World</t>
  </si>
  <si>
    <t>E98.S7.J646 2017</t>
  </si>
  <si>
    <t>https://ebookcentral.proquest.com/lib/cam/detail.action?docID=5123368</t>
  </si>
  <si>
    <t>Transversal Ecocritical Praxis : Theoretical Arguments, Literary Analysis, and Cultural Critique</t>
  </si>
  <si>
    <t>PS169.E25 -- .M875 2013eb</t>
  </si>
  <si>
    <t>https://ebookcentral.proquest.com/lib/cam/detail.action?docID=1222023</t>
  </si>
  <si>
    <t>Luxurious Networks : Salt Merchants, Status, and Statecraft in Eighteenth-Century China</t>
  </si>
  <si>
    <t>381/.4566440951</t>
  </si>
  <si>
    <t>DS754</t>
  </si>
  <si>
    <t>https://ebookcentral.proquest.com/lib/cam/detail.action?docID=4740710</t>
  </si>
  <si>
    <t>Evolution of Desire : A Life of René Girard</t>
  </si>
  <si>
    <t>https://ebookcentral.proquest.com/lib/cam/detail.action?docID=5320855</t>
  </si>
  <si>
    <t>Plague and Pleasure : The Renaissance World of Pius II</t>
  </si>
  <si>
    <t>BX1308</t>
  </si>
  <si>
    <t>https://ebookcentral.proquest.com/lib/cam/detail.action?docID=3135184</t>
  </si>
  <si>
    <t>Native American Nationalism and Nation Re-Building : Past and Present Cases</t>
  </si>
  <si>
    <t>E93.N284 2016</t>
  </si>
  <si>
    <t>https://ebookcentral.proquest.com/lib/cam/detail.action?docID=4528793</t>
  </si>
  <si>
    <t>"An Eye for Form" : Epigraphic Essays in Honor of Frank Moore Cross</t>
  </si>
  <si>
    <t>492/.041</t>
  </si>
  <si>
    <t>PJ3091 -- .E94 2014eb</t>
  </si>
  <si>
    <t>https://ebookcentral.proquest.com/lib/cam/detail.action?docID=3155700</t>
  </si>
  <si>
    <t>Literary Primitivism</t>
  </si>
  <si>
    <t>PN56.P7 .E86 2018</t>
  </si>
  <si>
    <t>https://ebookcentral.proquest.com/lib/cam/detail.action?docID=5178044</t>
  </si>
  <si>
    <t>Where Currents Meet : Frontiers of Memory in Post-Soviet Fiction of Kharkiv, Ukraine</t>
  </si>
  <si>
    <t>DG533.B867 2015</t>
  </si>
  <si>
    <t>https://ebookcentral.proquest.com/lib/cam/detail.action?docID=4543525</t>
  </si>
  <si>
    <t>Not Straight, Not White : Black Gay Men from the March on Washington to the AIDS Crisis</t>
  </si>
  <si>
    <t>306.76/6208996073</t>
  </si>
  <si>
    <t>HQ76.27.A37M86 2016</t>
  </si>
  <si>
    <t>https://ebookcentral.proquest.com/lib/cam/detail.action?docID=4443605</t>
  </si>
  <si>
    <t>Audiovisual Translation: Subtitling</t>
  </si>
  <si>
    <t>Fine Arts; Language/Linguistics</t>
  </si>
  <si>
    <t>P306.2 .D53 2014</t>
  </si>
  <si>
    <t>https://ebookcentral.proquest.com/lib/cam/detail.action?docID=1702387</t>
  </si>
  <si>
    <t>Cultural Mediation in Europe, 1800-1950</t>
  </si>
  <si>
    <t>HM621 .C858 2017</t>
  </si>
  <si>
    <t>https://ebookcentral.proquest.com/lib/cam/detail.action?docID=5314809</t>
  </si>
  <si>
    <t>Karman : A Brief Treatise on Action, Guilt, and Gesture</t>
  </si>
  <si>
    <t>Philosophy; Law</t>
  </si>
  <si>
    <t>K247.6 .A336 2018</t>
  </si>
  <si>
    <t>https://ebookcentral.proquest.com/lib/cam/detail.action?docID=5317437</t>
  </si>
  <si>
    <t>Jesus, Criteria, and the Demise of Authenticity</t>
  </si>
  <si>
    <t>BT303.2</t>
  </si>
  <si>
    <t>https://ebookcentral.proquest.com/lib/cam/detail.action?docID=967764</t>
  </si>
  <si>
    <t>Africa Must Be Modern : A Manifesto</t>
  </si>
  <si>
    <t>DT14.T343 2014</t>
  </si>
  <si>
    <t>https://ebookcentral.proquest.com/lib/cam/detail.action?docID=1656060</t>
  </si>
  <si>
    <t>Environment, Politics, and Ideology in North Korea : Landscape as Political Project</t>
  </si>
  <si>
    <t>Political Science; Environmental Studies</t>
  </si>
  <si>
    <t>GE190.K7 -- .W567 2015eb</t>
  </si>
  <si>
    <t>https://ebookcentral.proquest.com/lib/cam/detail.action?docID=1864132</t>
  </si>
  <si>
    <t>International Disaster Management Ethics</t>
  </si>
  <si>
    <t>174/.936334</t>
  </si>
  <si>
    <t>HV553.I5887 2016</t>
  </si>
  <si>
    <t>https://ebookcentral.proquest.com/lib/cam/detail.action?docID=4710095</t>
  </si>
  <si>
    <t>Nuclear Authority : The IAEA and the Absolute Weapon</t>
  </si>
  <si>
    <t>327.1/747</t>
  </si>
  <si>
    <t>JZ5675 -- .B76 2015eb</t>
  </si>
  <si>
    <t>https://ebookcentral.proquest.com/lib/cam/detail.action?docID=1987668</t>
  </si>
  <si>
    <t>The Economics of International Environmental Cooperation</t>
  </si>
  <si>
    <t>Business/Management; Economics; Environmental Studies</t>
  </si>
  <si>
    <t>HC79.E5 -- .Z955 2015eb</t>
  </si>
  <si>
    <t>https://ebookcentral.proquest.com/lib/cam/detail.action?docID=1987128</t>
  </si>
  <si>
    <t>Negotiating Diversity : Identity, Pluralism and Democracy</t>
  </si>
  <si>
    <t>JC423 -- .N446 2014eb</t>
  </si>
  <si>
    <t>https://ebookcentral.proquest.com/lib/cam/detail.action?docID=1766499</t>
  </si>
  <si>
    <t>Southern Religion and Christian Diversity in the Twentieth Century</t>
  </si>
  <si>
    <t>BR535</t>
  </si>
  <si>
    <t>https://ebookcentral.proquest.com/lib/cam/detail.action?docID=4557293</t>
  </si>
  <si>
    <t>Firsting and Lasting : Writing Indians out of Existence in New England</t>
  </si>
  <si>
    <t>E78.N5 -- O35 2010eb</t>
  </si>
  <si>
    <t>https://ebookcentral.proquest.com/lib/cam/detail.action?docID=548068</t>
  </si>
  <si>
    <t>When Sun Meets Moon : Gender, Eros, and Ecstasy in Urdu Poetry</t>
  </si>
  <si>
    <t>891.4/391009</t>
  </si>
  <si>
    <t>PK2168 -- .K84 2016eb</t>
  </si>
  <si>
    <t>https://ebookcentral.proquest.com/lib/cam/detail.action?docID=4443609</t>
  </si>
  <si>
    <t>North Korea and Nuclear Weapons : Entering the New Era of Deterrence</t>
  </si>
  <si>
    <t>U264.5.K7.N678 2017</t>
  </si>
  <si>
    <t>https://ebookcentral.proquest.com/lib/cam/detail.action?docID=4857661</t>
  </si>
  <si>
    <t>Rugged Individualism : Dead or Alive?</t>
  </si>
  <si>
    <t>BX1753.D384 2016</t>
  </si>
  <si>
    <t>https://ebookcentral.proquest.com/lib/cam/detail.action?docID=4767646</t>
  </si>
  <si>
    <t>Visual Culture of the Ancient Americas : Contemporary Perspectives</t>
  </si>
  <si>
    <t>980/.01</t>
  </si>
  <si>
    <t>E59.A7.V57 2017</t>
  </si>
  <si>
    <t>https://ebookcentral.proquest.com/lib/cam/detail.action?docID=4794213</t>
  </si>
  <si>
    <t>Containing Community : From Political Economy to Ontology in Agamben, Esposito, and Nancy</t>
  </si>
  <si>
    <t>B105.C46.B573 2016</t>
  </si>
  <si>
    <t>https://ebookcentral.proquest.com/lib/cam/detail.action?docID=4694644</t>
  </si>
  <si>
    <t>The Medieval Islamic Republic of Letters : Arabic Knowledge Construction</t>
  </si>
  <si>
    <t>892.7/09004</t>
  </si>
  <si>
    <t>PJ7535</t>
  </si>
  <si>
    <t>https://ebookcentral.proquest.com/lib/cam/detail.action?docID=3441190</t>
  </si>
  <si>
    <t>Thinking Through Transition : Liberal Democracy, Authoritarian Pasts, and Intellectual History in East Central Europe After 1989</t>
  </si>
  <si>
    <t>DJK51 -- .T456 2015eb</t>
  </si>
  <si>
    <t>https://ebookcentral.proquest.com/lib/cam/detail.action?docID=4443136</t>
  </si>
  <si>
    <t>Queer Identities and Politics in Germany : A History, 1880–1945</t>
  </si>
  <si>
    <t>Harrington Park Press, LLC</t>
  </si>
  <si>
    <t>HQ76.2.G4.W457 2016eb</t>
  </si>
  <si>
    <t>https://ebookcentral.proquest.com/lib/cam/detail.action?docID=4549653</t>
  </si>
  <si>
    <t>"Good News from New England" by Edward Winslow : A Scholarly Edition</t>
  </si>
  <si>
    <t>F68 -- .W567 2014eb</t>
  </si>
  <si>
    <t>https://ebookcentral.proquest.com/lib/cam/detail.action?docID=4533197</t>
  </si>
  <si>
    <t>Ireland's Immortals : A History of the Gods of Irish Myth</t>
  </si>
  <si>
    <t>BL980.I7.W54 2016</t>
  </si>
  <si>
    <t>https://ebookcentral.proquest.com/lib/cam/detail.action?docID=4718757</t>
  </si>
  <si>
    <t>Amateur Movie Making : Aesthetics of the Everyday in New England Film, 1915-1960</t>
  </si>
  <si>
    <t>TR896.A438 2017</t>
  </si>
  <si>
    <t>https://ebookcentral.proquest.com/lib/cam/detail.action?docID=4881461</t>
  </si>
  <si>
    <t>The Drunken Man's Talk : Tales from Medieval China</t>
  </si>
  <si>
    <t>PL2452 -- .D786 2015eb</t>
  </si>
  <si>
    <t>https://ebookcentral.proquest.com/lib/cam/detail.action?docID=3444658</t>
  </si>
  <si>
    <t>Freegans : Diving into the Wealth of Food Waste in America</t>
  </si>
  <si>
    <t>HD9975.U52B27 2016</t>
  </si>
  <si>
    <t>https://ebookcentral.proquest.com/lib/cam/detail.action?docID=4392076</t>
  </si>
  <si>
    <t>The Life and Times of Abu Tammam</t>
  </si>
  <si>
    <t>PJ7701.6.T35Z813</t>
  </si>
  <si>
    <t>https://ebookcentral.proquest.com/lib/cam/detail.action?docID=4050769</t>
  </si>
  <si>
    <t>Philosophy after Friendship : Deleuze’s Conceptual Personae</t>
  </si>
  <si>
    <t>B2430.D454.L363 2017</t>
  </si>
  <si>
    <t>https://ebookcentral.proquest.com/lib/cam/detail.action?docID=4745535</t>
  </si>
  <si>
    <t>Essays in Arabic Dialectology</t>
  </si>
  <si>
    <t>PJ6106 -- .G84 2015eb</t>
  </si>
  <si>
    <t>https://ebookcentral.proquest.com/lib/cam/detail.action?docID=1888933</t>
  </si>
  <si>
    <t>Through the Eyes of a Dancer : Selected Writings</t>
  </si>
  <si>
    <t>GV1594 -- .P47 2013eb</t>
  </si>
  <si>
    <t>https://ebookcentral.proquest.com/lib/cam/detail.action?docID=1466221</t>
  </si>
  <si>
    <t>Sidney Lumet : Film and Literary Vision</t>
  </si>
  <si>
    <t>791.43/0233/092</t>
  </si>
  <si>
    <t>PN1998.3.L86.C866 2</t>
  </si>
  <si>
    <t>https://ebookcentral.proquest.com/lib/cam/detail.action?docID=3039916</t>
  </si>
  <si>
    <t>Buster Keaton's Silent Shorts : 1920-1923</t>
  </si>
  <si>
    <t>Scarecrow Press, Incorporated</t>
  </si>
  <si>
    <t>PN2287.K4 -- N44 2013eb</t>
  </si>
  <si>
    <t>https://ebookcentral.proquest.com/lib/cam/detail.action?docID=1117161</t>
  </si>
  <si>
    <t>The Positive Mind : Its Development and Impact on Modernity and Postmodernity</t>
  </si>
  <si>
    <t>B831 -- .N457 2016eb</t>
  </si>
  <si>
    <t>https://ebookcentral.proquest.com/lib/cam/detail.action?docID=4443145</t>
  </si>
  <si>
    <t>Homelessness in New York City : Policymaking from Koch to de Blasio</t>
  </si>
  <si>
    <t>362.5/92561097471</t>
  </si>
  <si>
    <t>HV4506.N6M35 2016</t>
  </si>
  <si>
    <t>https://ebookcentral.proquest.com/lib/cam/detail.action?docID=4045282</t>
  </si>
  <si>
    <t>Inter/View : Talks with America's Writing Women</t>
  </si>
  <si>
    <t>810.9/9287/09045</t>
  </si>
  <si>
    <t>PS151.P4 1990eb</t>
  </si>
  <si>
    <t>https://ebookcentral.proquest.com/lib/cam/detail.action?docID=1915207</t>
  </si>
  <si>
    <t>Global Women, Colonial Ports : Prostitution in the Interwar Middle East</t>
  </si>
  <si>
    <t>HQ231.9.A5.K696 2017</t>
  </si>
  <si>
    <t>https://ebookcentral.proquest.com/lib/cam/detail.action?docID=4792833</t>
  </si>
  <si>
    <t>Benjamin Franklin's Intellectual World</t>
  </si>
  <si>
    <t>Fairleigh Dickinson University Press</t>
  </si>
  <si>
    <t>E302.6.F8 -- B494 2012eb</t>
  </si>
  <si>
    <t>https://ebookcentral.proquest.com/lib/cam/detail.action?docID=1664634</t>
  </si>
  <si>
    <t>Guns and Society in Colonial Nigeria : Firearms, Culture, and Public Order</t>
  </si>
  <si>
    <t>HV7439.N6 .A347 2018</t>
  </si>
  <si>
    <t>https://ebookcentral.proquest.com/lib/cam/detail.action?docID=5327249</t>
  </si>
  <si>
    <t>Hamas Contained : The Rise and Pacification of Palestinian Resistance</t>
  </si>
  <si>
    <t>DS119.7 .B336 2018</t>
  </si>
  <si>
    <t>https://ebookcentral.proquest.com/lib/cam/detail.action?docID=5333107</t>
  </si>
  <si>
    <t>Rise of the Modern Hospital : An Architectural History of Health and Healing, 1870-1940</t>
  </si>
  <si>
    <t>Health; Architecture; Social Science</t>
  </si>
  <si>
    <t>725/.510973</t>
  </si>
  <si>
    <t>RA967</t>
  </si>
  <si>
    <t>https://ebookcentral.proquest.com/lib/cam/detail.action?docID=5171042</t>
  </si>
  <si>
    <t>North Korea Confidential : Private Markets, Fashion Trends, Prison Camps, Dissenters and Defectors</t>
  </si>
  <si>
    <t>Tuttle Publishing</t>
  </si>
  <si>
    <t>JC599.K7 -- .T836 2015eb</t>
  </si>
  <si>
    <t>https://ebookcentral.proquest.com/lib/cam/detail.action?docID=1891107</t>
  </si>
  <si>
    <t>Modern Afghanistan : The Impact of 40 Years of War</t>
  </si>
  <si>
    <t>https://ebookcentral.proquest.com/lib/cam/detail.action?docID=5377517</t>
  </si>
  <si>
    <t>International Security and Peacebuilding : Africa, the Middle East, and Europe</t>
  </si>
  <si>
    <t>JZ5588.I5774 2017</t>
  </si>
  <si>
    <t>https://ebookcentral.proquest.com/lib/cam/detail.action?docID=4788085</t>
  </si>
  <si>
    <t>Kate o'Brien and Spanish Literary Culture</t>
  </si>
  <si>
    <t>PR6029.B65 .D385 2017</t>
  </si>
  <si>
    <t>https://ebookcentral.proquest.com/lib/cam/detail.action?docID=5192735</t>
  </si>
  <si>
    <t>Trauma and Recovery in the Twenty-First-Century Irish Novel</t>
  </si>
  <si>
    <t>PR8803.2 .C678 2018</t>
  </si>
  <si>
    <t>https://ebookcentral.proquest.com/lib/cam/detail.action?docID=5378155</t>
  </si>
  <si>
    <t>The Edge of Knowing : Dreams, History, and Realism in Modern Chinese Literature</t>
  </si>
  <si>
    <t>MLIRBH</t>
  </si>
  <si>
    <t>https://ebookcentral.proquest.com/lib/cam/detail.action?docID=4858170</t>
  </si>
  <si>
    <t>Views of Rome : A Greek Reader</t>
  </si>
  <si>
    <t>488.6/421</t>
  </si>
  <si>
    <t>PA3416.A5 .S474 2018</t>
  </si>
  <si>
    <t>https://ebookcentral.proquest.com/lib/cam/detail.action?docID=5214681</t>
  </si>
  <si>
    <t>Understanding Inequality: Social Costs and Benefits</t>
  </si>
  <si>
    <t>Springer Fachmedien</t>
  </si>
  <si>
    <t>https://ebookcentral.proquest.com/lib/cam/detail.action?docID=4505314</t>
  </si>
  <si>
    <t>Of Levinas and Shakespeare : "To See Another Thus"</t>
  </si>
  <si>
    <t>PR2986 .O45 2018</t>
  </si>
  <si>
    <t>https://ebookcentral.proquest.com/lib/cam/detail.action?docID=5331253</t>
  </si>
  <si>
    <t>Mahmud Sami Al-Barudi : Reconfiguring Society and the Self</t>
  </si>
  <si>
    <t>PJ7816.A694.D49 2015</t>
  </si>
  <si>
    <t>https://ebookcentral.proquest.com/lib/cam/detail.action?docID=3440563</t>
  </si>
  <si>
    <t>The Devout Hand : Women, Virtue, and Visual Culture in Early Modern Italy</t>
  </si>
  <si>
    <t>709.454/110903</t>
  </si>
  <si>
    <t>N6921.B7.R633 2017</t>
  </si>
  <si>
    <t>https://ebookcentral.proquest.com/lib/cam/detail.action?docID=5109986</t>
  </si>
  <si>
    <t>Promoting Peace in Myanmar : U.S. Interests and Role</t>
  </si>
  <si>
    <t>Center for Strategic &amp; International Studies</t>
  </si>
  <si>
    <t>JZ5538 -- .K86 2014eb</t>
  </si>
  <si>
    <t>https://ebookcentral.proquest.com/lib/cam/detail.action?docID=1690843</t>
  </si>
  <si>
    <t>J. G. Ballard</t>
  </si>
  <si>
    <t>PR6052</t>
  </si>
  <si>
    <t>https://ebookcentral.proquest.com/lib/cam/detail.action?docID=5161247</t>
  </si>
  <si>
    <t>Invented Lives, Imagined Communities : The Biopic and American National Identity</t>
  </si>
  <si>
    <t>791.43/651</t>
  </si>
  <si>
    <t>PN1995.9.B55I58 2016</t>
  </si>
  <si>
    <t>https://ebookcentral.proquest.com/lib/cam/detail.action?docID=4557285</t>
  </si>
  <si>
    <t>Everyday Life in the North Korean Revolution, 1945–1950</t>
  </si>
  <si>
    <t>DS935</t>
  </si>
  <si>
    <t>https://ebookcentral.proquest.com/lib/cam/detail.action?docID=3138509</t>
  </si>
  <si>
    <t>Kierkegaard and the Life of Faith : The Aesthetic, the Ethical, and the Religious in Fear and Trembling</t>
  </si>
  <si>
    <t>BR100.K523.H36 2017</t>
  </si>
  <si>
    <t>https://ebookcentral.proquest.com/lib/cam/detail.action?docID=4772015</t>
  </si>
  <si>
    <t>The Red List : A Poem</t>
  </si>
  <si>
    <t>LSU Press</t>
  </si>
  <si>
    <t>PS3553.U745 -- R44 2014eb</t>
  </si>
  <si>
    <t>https://ebookcentral.proquest.com/lib/cam/detail.action?docID=1689323</t>
  </si>
  <si>
    <t>Thinking Like an Island : Navigating a Sustainable Future in Hawai'i</t>
  </si>
  <si>
    <t>HC107.H33 -- E585 2015eb</t>
  </si>
  <si>
    <t>https://ebookcentral.proquest.com/lib/cam/detail.action?docID=3413811</t>
  </si>
  <si>
    <t>The Afterlife of Al-Andalus : Muslim Iberia in Contemporary Arab and Hispanic Narratives</t>
  </si>
  <si>
    <t>PQ6042.A4 .C583 2017</t>
  </si>
  <si>
    <t>https://ebookcentral.proquest.com/lib/cam/detail.action?docID=5161269</t>
  </si>
  <si>
    <t>Persecution or Toleration : An Explication of the Locke-Proast Quarrel, 1689-1704</t>
  </si>
  <si>
    <t>BR1610 -- .W65 2010eb</t>
  </si>
  <si>
    <t>https://ebookcentral.proquest.com/lib/cam/detail.action?docID=634255</t>
  </si>
  <si>
    <t>At the Dawn of History : Ancient Near Eastern Studies in Honour of J. N. Postgate</t>
  </si>
  <si>
    <t>DS69.5.A8 2017</t>
  </si>
  <si>
    <t>https://ebookcentral.proquest.com/lib/cam/detail.action?docID=4857048</t>
  </si>
  <si>
    <t>Jerusalem : Conflict and Cooperation in a Contested City</t>
  </si>
  <si>
    <t>956.94/42054</t>
  </si>
  <si>
    <t>DS109.9.J4573 2014</t>
  </si>
  <si>
    <t>https://ebookcentral.proquest.com/lib/cam/detail.action?docID=3410187</t>
  </si>
  <si>
    <t>The Snowden Reader</t>
  </si>
  <si>
    <t>UB271.U5 -- .S669 2015eb</t>
  </si>
  <si>
    <t>https://ebookcentral.proquest.com/lib/cam/detail.action?docID=2006794</t>
  </si>
  <si>
    <t>The Pluralist Imagination from East to West in American Literature</t>
  </si>
  <si>
    <t>PS169.N35 -- N49 2014eb</t>
  </si>
  <si>
    <t>https://ebookcentral.proquest.com/lib/cam/detail.action?docID=1839872</t>
  </si>
  <si>
    <t>Ko te Whenua te Utu / Land Is the Price : Essays on Maori History, Land and Politics</t>
  </si>
  <si>
    <t>DU423.A1 -- .K6 2014eb</t>
  </si>
  <si>
    <t>https://ebookcentral.proquest.com/lib/cam/detail.action?docID=1664992</t>
  </si>
  <si>
    <t>Poverty in a Rising Africa</t>
  </si>
  <si>
    <t>HC800.P6</t>
  </si>
  <si>
    <t>https://ebookcentral.proquest.com/lib/cam/detail.action?docID=4451928</t>
  </si>
  <si>
    <t>Reconsidering Longfellow</t>
  </si>
  <si>
    <t>PS2288 -- .R436 2014eb</t>
  </si>
  <si>
    <t>https://ebookcentral.proquest.com/lib/cam/detail.action?docID=1641883</t>
  </si>
  <si>
    <t>Gender, Sexuality, and the Cold War : A Global Perspective</t>
  </si>
  <si>
    <t>D842.G463 2017</t>
  </si>
  <si>
    <t>https://ebookcentral.proquest.com/lib/cam/detail.action?docID=4877922</t>
  </si>
  <si>
    <t>Living Cargo : How Black Britain Performs Its Past</t>
  </si>
  <si>
    <t>700.89/96041</t>
  </si>
  <si>
    <t>NX543.B548 2016</t>
  </si>
  <si>
    <t>https://ebookcentral.proquest.com/lib/cam/detail.action?docID=4525962</t>
  </si>
  <si>
    <t>Innocent Experiments : Childhood and the Culture of Popular Science in the United States</t>
  </si>
  <si>
    <t>Science; Social Science</t>
  </si>
  <si>
    <t>303.48/30973</t>
  </si>
  <si>
    <t>Q175.52.U6.O556 2016</t>
  </si>
  <si>
    <t>https://ebookcentral.proquest.com/lib/cam/detail.action?docID=4525824</t>
  </si>
  <si>
    <t>Inventing Pollution : Coal, Smoke, and Culture in Britain Since 1800</t>
  </si>
  <si>
    <t>Engineering; Engineering: Environmental; Environmental Studies</t>
  </si>
  <si>
    <t>TD883.7.G7 .T467 2017</t>
  </si>
  <si>
    <t>https://ebookcentral.proquest.com/lib/cam/detail.action?docID=5349461</t>
  </si>
  <si>
    <t>Forget Chineseness : On the Geopolitics of Cultural Identification</t>
  </si>
  <si>
    <t>DS732.C486 2017</t>
  </si>
  <si>
    <t>https://ebookcentral.proquest.com/lib/cam/detail.action?docID=4832518</t>
  </si>
  <si>
    <t>Radicals : Resistance and Protest in Colonial Malaya</t>
  </si>
  <si>
    <t>959.5/104</t>
  </si>
  <si>
    <t>DS596.6 -- .A45 2015eb</t>
  </si>
  <si>
    <t>https://ebookcentral.proquest.com/lib/cam/detail.action?docID=3440203</t>
  </si>
  <si>
    <t>Against Marcellus and on Ecclesiastical History</t>
  </si>
  <si>
    <t>https://ebookcentral.proquest.com/lib/cam/detail.action?docID=5214979</t>
  </si>
  <si>
    <t>Representing the Troubles in Irish Short Fiction</t>
  </si>
  <si>
    <t>823/.0109358</t>
  </si>
  <si>
    <t>PR8807</t>
  </si>
  <si>
    <t>https://ebookcentral.proquest.com/lib/cam/detail.action?docID=3134778</t>
  </si>
  <si>
    <t>Becoming a Reflective Librarian and Teacher : Strategies for Mindful Academic Practice</t>
  </si>
  <si>
    <t>Z682.4.C63.R435 2017</t>
  </si>
  <si>
    <t>https://ebookcentral.proquest.com/lib/cam/detail.action?docID=5109515</t>
  </si>
  <si>
    <t>The Letter to Ren an and Sima Qian's Legacy</t>
  </si>
  <si>
    <t>931/.04</t>
  </si>
  <si>
    <t>DS734.9.S8</t>
  </si>
  <si>
    <t>https://ebookcentral.proquest.com/lib/cam/detail.action?docID=4649035</t>
  </si>
  <si>
    <t>National Matters : Materiality, Culture, and Nationalism</t>
  </si>
  <si>
    <t>JC311.N2917 2017</t>
  </si>
  <si>
    <t>https://ebookcentral.proquest.com/lib/cam/detail.action?docID=4862146</t>
  </si>
  <si>
    <t>Religion, Culture, and the Public Sphere in China and Japan</t>
  </si>
  <si>
    <t>https://ebookcentral.proquest.com/lib/cam/detail.action?docID=4812041</t>
  </si>
  <si>
    <t>Questions of Poetics : Language Writing and Consequences</t>
  </si>
  <si>
    <t>PS325</t>
  </si>
  <si>
    <t>https://ebookcentral.proquest.com/lib/cam/detail.action?docID=4659155</t>
  </si>
  <si>
    <t>Swahili Port Cities : The Architecture of Elsewhere</t>
  </si>
  <si>
    <t>NA2543.S6.M48 2016</t>
  </si>
  <si>
    <t>https://ebookcentral.proquest.com/lib/cam/detail.action?docID=4426684</t>
  </si>
  <si>
    <t>Understanding Contemporary Irish Fiction and Drama</t>
  </si>
  <si>
    <t>University of South Carolina Press</t>
  </si>
  <si>
    <t>PR8803 .H35 2016</t>
  </si>
  <si>
    <t>https://ebookcentral.proquest.com/lib/cam/detail.action?docID=4558285</t>
  </si>
  <si>
    <t>Rituals and Riots : Sectarian Violence and Political Culture in Ulster, 1784-1886</t>
  </si>
  <si>
    <t>DA990.U46 -- .F345 2009eb</t>
  </si>
  <si>
    <t>https://ebookcentral.proquest.com/lib/cam/detail.action?docID=1915084</t>
  </si>
  <si>
    <t>Religion, Media, and Marginality in Modern Africa</t>
  </si>
  <si>
    <t>https://ebookcentral.proquest.com/lib/cam/detail.action?docID=5255513</t>
  </si>
  <si>
    <t>Key to the New World : A History of Early Colonial Cuba</t>
  </si>
  <si>
    <t>F1779 .M378 2018</t>
  </si>
  <si>
    <t>https://ebookcentral.proquest.com/lib/cam/detail.action?docID=5325721</t>
  </si>
  <si>
    <t>Ripping England! : Postwar British Satire from Ealing to the Goons</t>
  </si>
  <si>
    <t>PN1995.9.C55 .R395 2017</t>
  </si>
  <si>
    <t>https://ebookcentral.proquest.com/lib/cam/detail.action?docID=5210803</t>
  </si>
  <si>
    <t>Holocaust Memory in the Digital Age : Survivors' Stories and New Media Practices</t>
  </si>
  <si>
    <t>940.53/18072</t>
  </si>
  <si>
    <t>D804.348.S536 2017</t>
  </si>
  <si>
    <t>https://ebookcentral.proquest.com/lib/cam/detail.action?docID=5046837</t>
  </si>
  <si>
    <t>East German Intellectuals and the Unification of Germany : An Ethnographic View</t>
  </si>
  <si>
    <t>https://ebookcentral.proquest.com/lib/cam/detail.action?docID=4774791</t>
  </si>
  <si>
    <t>Exploring Certainty : Wittgenstein and Wide Fields of Thought</t>
  </si>
  <si>
    <t>B3376.W563 -- .B753 2014eb</t>
  </si>
  <si>
    <t>https://ebookcentral.proquest.com/lib/cam/detail.action?docID=1651784</t>
  </si>
  <si>
    <t>Selected Works of Abbot Suger of Saint Denis</t>
  </si>
  <si>
    <t>https://ebookcentral.proquest.com/lib/cam/detail.action?docID=5216970</t>
  </si>
  <si>
    <t>Geopolitical Economy : After US Hegemony, Globalization and Empire</t>
  </si>
  <si>
    <t>JC319 -- .D47 2013eb</t>
  </si>
  <si>
    <t>https://ebookcentral.proquest.com/lib/cam/detail.action?docID=3386706</t>
  </si>
  <si>
    <t>Humble Theory : Folklore's Grasp on Social Life</t>
  </si>
  <si>
    <t>GR40.N694 2016</t>
  </si>
  <si>
    <t>https://ebookcentral.proquest.com/lib/cam/detail.action?docID=4717620</t>
  </si>
  <si>
    <t>Human Rights Standards : Hegemony, Law, and Politics</t>
  </si>
  <si>
    <t>JC571.M954 2016</t>
  </si>
  <si>
    <t>https://ebookcentral.proquest.com/lib/cam/detail.action?docID=4603722</t>
  </si>
  <si>
    <t>In the Realm of the Senses : Social Aesthetics and the Sensory Dynamics of Privilege</t>
  </si>
  <si>
    <t>Springer</t>
  </si>
  <si>
    <t>PN1993-PN1999</t>
  </si>
  <si>
    <t>https://ebookcentral.proquest.com/lib/cam/detail.action?docID=3109326</t>
  </si>
  <si>
    <t>Mu Shiying : Chinas Lost Modernist</t>
  </si>
  <si>
    <t>PL2277 -- .F545 2014eb</t>
  </si>
  <si>
    <t>https://ebookcentral.proquest.com/lib/cam/detail.action?docID=1644163</t>
  </si>
  <si>
    <t>Energy and Empire : The Politics of Nuclear and Solar Power in the United States</t>
  </si>
  <si>
    <t>333.792/30973</t>
  </si>
  <si>
    <t>HD9502.A2 -- G655 2012eb</t>
  </si>
  <si>
    <t>https://ebookcentral.proquest.com/lib/cam/detail.action?docID=3408664</t>
  </si>
  <si>
    <t>Imagination, Music, and the Emotions : A Philosophical Study</t>
  </si>
  <si>
    <t>ML3800.T758 2017</t>
  </si>
  <si>
    <t>https://ebookcentral.proquest.com/lib/cam/detail.action?docID=4983613</t>
  </si>
  <si>
    <t>Pink 2. 0 : Encoding Queer Cinema on the Internet</t>
  </si>
  <si>
    <t>PN1995.9.H55.T755 2016</t>
  </si>
  <si>
    <t>https://ebookcentral.proquest.com/lib/cam/detail.action?docID=4721239</t>
  </si>
  <si>
    <t>Scott, Chaucer, and Medieval Romance : A Study in Sir Walter Scott's Indebtedness to the Literature of the Middle Ages</t>
  </si>
  <si>
    <t>PR5343.L56.M58 1987</t>
  </si>
  <si>
    <t>https://ebookcentral.proquest.com/lib/cam/detail.action?docID=1915837</t>
  </si>
  <si>
    <t>Anti-Literature : The Politics and Limits of Representation in Modern Brazil and Argentina</t>
  </si>
  <si>
    <t>869.09/981</t>
  </si>
  <si>
    <t>PQ9555</t>
  </si>
  <si>
    <t>https://ebookcentral.proquest.com/lib/cam/detail.action?docID=4895149</t>
  </si>
  <si>
    <t>Estimating Economic Capacity</t>
  </si>
  <si>
    <t>HD69.C3.G53 1968eb</t>
  </si>
  <si>
    <t>https://ebookcentral.proquest.com/lib/cam/detail.action?docID=1915568</t>
  </si>
  <si>
    <t>Spatializing Blackness : Architectures of Confinement and Black Masculinity in Chicago</t>
  </si>
  <si>
    <t>305.38/896073077311</t>
  </si>
  <si>
    <t>https://ebookcentral.proquest.com/lib/cam/detail.action?docID=4306044</t>
  </si>
  <si>
    <t>Promoting the Rule of Law Abroad : In Search of Knowledge</t>
  </si>
  <si>
    <t>K3171 -- .P764 2006eb</t>
  </si>
  <si>
    <t>https://ebookcentral.proquest.com/lib/cam/detail.action?docID=1115641</t>
  </si>
  <si>
    <t>Acute Melancholia and Other Essays : Mysticism, History, and the Study of Religion</t>
  </si>
  <si>
    <t>BR100.H6155 2016eb</t>
  </si>
  <si>
    <t>https://ebookcentral.proquest.com/lib/cam/detail.action?docID=4398613</t>
  </si>
  <si>
    <t>Sensing Decolonial Aesthetics in Latin American Arts</t>
  </si>
  <si>
    <t>306/.1</t>
  </si>
  <si>
    <t>HM647 .R36 2018</t>
  </si>
  <si>
    <t>https://ebookcentral.proquest.com/lib/cam/detail.action?docID=5267474</t>
  </si>
  <si>
    <t>Beasts of Burden : Biopolitics, Labor, and Animal Life in British Romanticism</t>
  </si>
  <si>
    <t>820.9/007</t>
  </si>
  <si>
    <t>PR468.A56.B74 2017</t>
  </si>
  <si>
    <t>https://ebookcentral.proquest.com/lib/cam/detail.action?docID=4796332</t>
  </si>
  <si>
    <t>Hope Isn't Stupid : Utopian Affects in Contemporary American Literature</t>
  </si>
  <si>
    <t>813/.5409372</t>
  </si>
  <si>
    <t>https://ebookcentral.proquest.com/lib/cam/detail.action?docID=4943898</t>
  </si>
  <si>
    <t>Ritual Violence in the Ancient Andes : Reconstructing Sacrifice on the North Coast of Peru</t>
  </si>
  <si>
    <t>985/.01</t>
  </si>
  <si>
    <t>F3429.3.R58.R588 2016</t>
  </si>
  <si>
    <t>https://ebookcentral.proquest.com/lib/cam/detail.action?docID=4770557</t>
  </si>
  <si>
    <t>The New Great Game : China and South and Central Asia in the Era of Reform</t>
  </si>
  <si>
    <t>DS341</t>
  </si>
  <si>
    <t>https://ebookcentral.proquest.com/lib/cam/detail.action?docID=4455208</t>
  </si>
  <si>
    <t>Becoming Modern Women : Love and Female Identity in Prewar Japanese Literature and Culture</t>
  </si>
  <si>
    <t>895.6/093522</t>
  </si>
  <si>
    <t>PL725</t>
  </si>
  <si>
    <t>https://ebookcentral.proquest.com/lib/cam/detail.action?docID=483447</t>
  </si>
  <si>
    <t>Early Geological Maps of Europe : Central Europe 1750 To 1840</t>
  </si>
  <si>
    <t>Science: Geology; Science</t>
  </si>
  <si>
    <t>https://ebookcentral.proquest.com/lib/cam/detail.action?docID=4570788</t>
  </si>
  <si>
    <t>Ecology Without Culture : Aesthetics for a Toxic World</t>
  </si>
  <si>
    <t>PN98.E36 .M377 2017</t>
  </si>
  <si>
    <t>https://ebookcentral.proquest.com/lib/cam/detail.action?docID=5150971</t>
  </si>
  <si>
    <t>Out of the Closet, into the Archives : Researching Sexual Histories</t>
  </si>
  <si>
    <t>306.76/6</t>
  </si>
  <si>
    <t>HQ75.15 -- .O986 2015eb</t>
  </si>
  <si>
    <t>https://ebookcentral.proquest.com/lib/cam/detail.action?docID=4396631</t>
  </si>
  <si>
    <t>Embracing Protestantism : Black Identities in the Atlantic World</t>
  </si>
  <si>
    <t>BR563.N4 C385 2016</t>
  </si>
  <si>
    <t>https://ebookcentral.proquest.com/lib/cam/detail.action?docID=4333715</t>
  </si>
  <si>
    <t>Civilization and Progress</t>
  </si>
  <si>
    <t>CB155.T7 1971eb</t>
  </si>
  <si>
    <t>https://ebookcentral.proquest.com/lib/cam/detail.action?docID=1915555</t>
  </si>
  <si>
    <t>Hip Hop at Europe's Edge : Music, Agency, and Social Change</t>
  </si>
  <si>
    <t>ML3531.H567 2017eb</t>
  </si>
  <si>
    <t>https://ebookcentral.proquest.com/lib/cam/detail.action?docID=4813363</t>
  </si>
  <si>
    <t>After Extinction</t>
  </si>
  <si>
    <t>576.8/4</t>
  </si>
  <si>
    <t>GF75 .A4 2018</t>
  </si>
  <si>
    <t>https://ebookcentral.proquest.com/lib/cam/detail.action?docID=5344209</t>
  </si>
  <si>
    <t>Letters, 121-150</t>
  </si>
  <si>
    <t>https://ebookcentral.proquest.com/lib/cam/detail.action?docID=3134749</t>
  </si>
  <si>
    <t>The Peace of Passarowitz, 1718</t>
  </si>
  <si>
    <t>DB63 1718 -- .P37 2011eb</t>
  </si>
  <si>
    <t>https://ebookcentral.proquest.com/lib/cam/detail.action?docID=3118934</t>
  </si>
  <si>
    <t>Walayah in the Fatimid Isma'ili Tradition</t>
  </si>
  <si>
    <t>BP194.A449 2017</t>
  </si>
  <si>
    <t>https://ebookcentral.proquest.com/lib/cam/detail.action?docID=4922912</t>
  </si>
  <si>
    <t>The SA Generals and the Rise of Nazism</t>
  </si>
  <si>
    <t>DD253.7 -- .C367 2004eb</t>
  </si>
  <si>
    <t>https://ebookcentral.proquest.com/lib/cam/detail.action?docID=1915314</t>
  </si>
  <si>
    <t>Ken Wilber : Thought As Passion</t>
  </si>
  <si>
    <t>BF109.W54 -- V5713 2003eb</t>
  </si>
  <si>
    <t>https://ebookcentral.proquest.com/lib/cam/detail.action?docID=3408388</t>
  </si>
  <si>
    <t>Jinnealogy : Time, Islam, and Ecological Thought in the Medieval Ruins of Delhi</t>
  </si>
  <si>
    <t>297.3/9095456</t>
  </si>
  <si>
    <t>BP63.I42 .T364 2018</t>
  </si>
  <si>
    <t>https://ebookcentral.proquest.com/lib/cam/detail.action?docID=5155793</t>
  </si>
  <si>
    <t>The Democracy Promotion Paradox</t>
  </si>
  <si>
    <t>JZ1480.A55 -- .M583 2016eb</t>
  </si>
  <si>
    <t>https://ebookcentral.proquest.com/lib/cam/detail.action?docID=4471749</t>
  </si>
  <si>
    <t>The Roland Legend in Nineteenth Century French Literature</t>
  </si>
  <si>
    <t>PQ283.R43 1991eb</t>
  </si>
  <si>
    <t>https://ebookcentral.proquest.com/lib/cam/detail.action?docID=1915890</t>
  </si>
  <si>
    <t>Masquerading Politics : Kinship, Gender, and Ethnicity in a Yoruba Town</t>
  </si>
  <si>
    <t>DT515.45.Y67 .W555 2018</t>
  </si>
  <si>
    <t>https://ebookcentral.proquest.com/lib/cam/detail.action?docID=5150098</t>
  </si>
  <si>
    <t>Understanding Franz Kafka</t>
  </si>
  <si>
    <t>PT2621.A26 Z93165 20</t>
  </si>
  <si>
    <t>https://ebookcentral.proquest.com/lib/cam/detail.action?docID=5211470</t>
  </si>
  <si>
    <t>Image and Presence : A Christological Reflection on Iconoclasm and Iconophilia</t>
  </si>
  <si>
    <t>246/.53</t>
  </si>
  <si>
    <t>BT590.I3 .C37 2018</t>
  </si>
  <si>
    <t>https://ebookcentral.proquest.com/lib/cam/detail.action?docID=5178040</t>
  </si>
  <si>
    <t>No Billionaire Left Behind : Satirical Activism in America</t>
  </si>
  <si>
    <t>Business/Management; History; Economics</t>
  </si>
  <si>
    <t>E902</t>
  </si>
  <si>
    <t>https://ebookcentral.proquest.com/lib/cam/detail.action?docID=1155233</t>
  </si>
  <si>
    <t>Writing America : Literary Landmarks from Walden Pond to Wounded Knee (a Reader's Companion)</t>
  </si>
  <si>
    <t>Rutgers University Press</t>
  </si>
  <si>
    <t>PS141</t>
  </si>
  <si>
    <t>https://ebookcentral.proquest.com/lib/cam/detail.action?docID=4414559</t>
  </si>
  <si>
    <t>Poetic Fragments</t>
  </si>
  <si>
    <t>831/.6</t>
  </si>
  <si>
    <t>PN1136.G863 2016</t>
  </si>
  <si>
    <t>https://ebookcentral.proquest.com/lib/cam/detail.action?docID=4699629</t>
  </si>
  <si>
    <t>Proust, Music, and Meaning : Theories and Practices of Listening in the Recherche</t>
  </si>
  <si>
    <t>https://ebookcentral.proquest.com/lib/cam/detail.action?docID=4816274</t>
  </si>
  <si>
    <t>Understanding Chuck Palahniuk</t>
  </si>
  <si>
    <t>PS3566.A4554 Z67 201</t>
  </si>
  <si>
    <t>https://ebookcentral.proquest.com/lib/cam/detail.action?docID=4525862</t>
  </si>
  <si>
    <t>Spaces of Danger : Culture and Power in the Everyday</t>
  </si>
  <si>
    <t>HM1266 -- .S73 2015eb</t>
  </si>
  <si>
    <t>https://ebookcentral.proquest.com/lib/cam/detail.action?docID=4397167</t>
  </si>
  <si>
    <t>Critical Library Pedagogy Handbook : Lesson Plans</t>
  </si>
  <si>
    <t>https://ebookcentral.proquest.com/lib/cam/detail.action?docID=4692821</t>
  </si>
  <si>
    <t>Whitehead's Religious Thought : From Mechanism to Organism, from Force to Persuasion</t>
  </si>
  <si>
    <t>B1674.W354.D663 2017</t>
  </si>
  <si>
    <t>https://ebookcentral.proquest.com/lib/cam/detail.action?docID=4747183</t>
  </si>
  <si>
    <t>ABC of Impossibility</t>
  </si>
  <si>
    <t>B791 -- .C75 2015eb</t>
  </si>
  <si>
    <t>https://ebookcentral.proquest.com/lib/cam/detail.action?docID=4460109</t>
  </si>
  <si>
    <t>Mass Shootings : Media, Myths, and Realities</t>
  </si>
  <si>
    <t>364.152/34</t>
  </si>
  <si>
    <t>HV6515.S35 2016</t>
  </si>
  <si>
    <t>https://ebookcentral.proquest.com/lib/cam/detail.action?docID=4383425</t>
  </si>
  <si>
    <t>Tasks and Criteria in Performance Assessment : Proceedings of the 28 th  Language Testing Research Colloquium</t>
  </si>
  <si>
    <t>P53.4 -- .L38 2009eb</t>
  </si>
  <si>
    <t>https://ebookcentral.proquest.com/lib/cam/detail.action?docID=1888997</t>
  </si>
  <si>
    <t>Next Door to the Dead : Poems</t>
  </si>
  <si>
    <t>811/.6</t>
  </si>
  <si>
    <t>PN1072 .D384 2015</t>
  </si>
  <si>
    <t>https://ebookcentral.proquest.com/lib/cam/detail.action?docID=2034328</t>
  </si>
  <si>
    <t>Mrs. Wiggs of the Cabbage Patch</t>
  </si>
  <si>
    <t>PS3535.I2145 -- .R534 2004eb</t>
  </si>
  <si>
    <t>https://ebookcentral.proquest.com/lib/cam/detail.action?docID=1915248</t>
  </si>
  <si>
    <t>Australia's Asia : From Yellow Peril to Asian Century</t>
  </si>
  <si>
    <t>UWA Publishing</t>
  </si>
  <si>
    <t>DU122.A73 -- .A978 2012eb</t>
  </si>
  <si>
    <t>https://ebookcentral.proquest.com/lib/cam/detail.action?docID=1962990</t>
  </si>
  <si>
    <t>Remaking College : The Changing Ecology of Higher Education</t>
  </si>
  <si>
    <t>LA226</t>
  </si>
  <si>
    <t>https://ebookcentral.proquest.com/lib/cam/detail.action?docID=1866484</t>
  </si>
  <si>
    <t>Westward into Kentucky : The Narrative of Daniel Trabue</t>
  </si>
  <si>
    <t>F454 -- .W478 2004eb</t>
  </si>
  <si>
    <t>https://ebookcentral.proquest.com/lib/cam/detail.action?docID=1915348</t>
  </si>
  <si>
    <t>Success and Luck : Good Fortune and the Myth of Meritocracy</t>
  </si>
  <si>
    <t>HB71.F69584 2016</t>
  </si>
  <si>
    <t>https://ebookcentral.proquest.com/lib/cam/detail.action?docID=4218474</t>
  </si>
  <si>
    <t>Darwin’s Footprint : Cultural Perspectives on Evolution in Greece (1880–1930s)</t>
  </si>
  <si>
    <t>Science; Science: Biology/Natural History; Literature</t>
  </si>
  <si>
    <t>PA5230.E86 -- .Z375 2015eb</t>
  </si>
  <si>
    <t>https://ebookcentral.proquest.com/lib/cam/detail.action?docID=4443149</t>
  </si>
  <si>
    <t>Towards Solving the Social Science Challenges with Computing Methods</t>
  </si>
  <si>
    <t>H61.3 .T693 2015</t>
  </si>
  <si>
    <t>https://ebookcentral.proquest.com/lib/cam/detail.action?docID=2064188</t>
  </si>
  <si>
    <t>Simple Habits for Complex Times : Powerful Practices for Leaders</t>
  </si>
  <si>
    <t>HD57</t>
  </si>
  <si>
    <t>https://ebookcentral.proquest.com/lib/cam/detail.action?docID=1934290</t>
  </si>
  <si>
    <t>The Big Move : Life Between the Turning Points</t>
  </si>
  <si>
    <t>362.61092 B</t>
  </si>
  <si>
    <t>HV1454.2.U62M359</t>
  </si>
  <si>
    <t>https://ebookcentral.proquest.com/lib/cam/detail.action?docID=4426693</t>
  </si>
  <si>
    <t>Do Facts Matter? : Information and Misinformation in American Politics</t>
  </si>
  <si>
    <t>323/.0420973</t>
  </si>
  <si>
    <t>JK1764.H634 2015eb</t>
  </si>
  <si>
    <t>https://ebookcentral.proquest.com/lib/cam/detail.action?docID=3441349</t>
  </si>
  <si>
    <t>Managing Risk and Complexity through Open Communication and Teamwork</t>
  </si>
  <si>
    <t>HD30.3 -- .T667 2015eb</t>
  </si>
  <si>
    <t>https://ebookcentral.proquest.com/lib/cam/detail.action?docID=2095921</t>
  </si>
  <si>
    <t>What Adam Smith Knew : Moral Lessons on Capitalism from Its Greatest Champions and Fiercest Opponents</t>
  </si>
  <si>
    <t>Encounter Books</t>
  </si>
  <si>
    <t>HB501 -- .W49 2014eb</t>
  </si>
  <si>
    <t>https://ebookcentral.proquest.com/lib/cam/detail.action?docID=1771971</t>
  </si>
  <si>
    <t>Arab Dawn : Arab Youth and the Demographic Dividend They Will Bring</t>
  </si>
  <si>
    <t>HQ799.A6</t>
  </si>
  <si>
    <t>https://ebookcentral.proquest.com/lib/cam/detail.action?docID=4669294</t>
  </si>
  <si>
    <t>From Antiquities to Heritage : Transformations of Cultural Memory</t>
  </si>
  <si>
    <t>CC135 .E834 2014</t>
  </si>
  <si>
    <t>https://ebookcentral.proquest.com/lib/cam/detail.action?docID=1375290</t>
  </si>
  <si>
    <t>Listening to Teach : Beyond Didactic Pedagogy</t>
  </si>
  <si>
    <t>LB1025.3 -- .L565 2015eb</t>
  </si>
  <si>
    <t>https://ebookcentral.proquest.com/lib/cam/detail.action?docID=4396588</t>
  </si>
  <si>
    <t>Indifference to Difference : On Queer Universalism</t>
  </si>
  <si>
    <t>PN56.I57M46 2015</t>
  </si>
  <si>
    <t>https://ebookcentral.proquest.com/lib/cam/detail.action?docID=4391793</t>
  </si>
  <si>
    <t>Nurturing Masculinities : Men, Food, and Family in Contemporary Egypt</t>
  </si>
  <si>
    <t>394.1/20962</t>
  </si>
  <si>
    <t>GT2853.E3 -- N34 2015eb</t>
  </si>
  <si>
    <t>https://ebookcentral.proquest.com/lib/cam/detail.action?docID=3443798</t>
  </si>
  <si>
    <t>The Han : China's Diverse Majority</t>
  </si>
  <si>
    <t>DS730 -- .J665 2015eb</t>
  </si>
  <si>
    <t>https://ebookcentral.proquest.com/lib/cam/detail.action?docID=3444650</t>
  </si>
  <si>
    <t>Paul Thomas Anderson</t>
  </si>
  <si>
    <t>https://ebookcentral.proquest.com/lib/cam/detail.action?docID=4792720</t>
  </si>
  <si>
    <t>The Affect of Difference : Representations of Race in East Asian Empire</t>
  </si>
  <si>
    <t>DS518.45.A34 2016</t>
  </si>
  <si>
    <t>https://ebookcentral.proquest.com/lib/cam/detail.action?docID=4537073</t>
  </si>
  <si>
    <t>Network of Knowledge : Western Science and the Tokugawa Information Revolution</t>
  </si>
  <si>
    <t>610.69/50952</t>
  </si>
  <si>
    <t>R626.O84J33 2016</t>
  </si>
  <si>
    <t>https://ebookcentral.proquest.com/lib/cam/detail.action?docID=4510867</t>
  </si>
  <si>
    <t>Figuring the Population Bomb : Gender and Demography in the Mid-Twentieth Century</t>
  </si>
  <si>
    <t>HB851.M333 2017</t>
  </si>
  <si>
    <t>https://ebookcentral.proquest.com/lib/cam/detail.action?docID=4858180</t>
  </si>
  <si>
    <t>Sounding the Color Line : Music and Race in the Southern Imagination</t>
  </si>
  <si>
    <t>780.89/00975</t>
  </si>
  <si>
    <t>ML3551.N86 2015</t>
  </si>
  <si>
    <t>https://ebookcentral.proquest.com/lib/cam/detail.action?docID=2055022</t>
  </si>
  <si>
    <t>Shakespeare and the Poet's Life</t>
  </si>
  <si>
    <t>PR2957.S36 1990eb</t>
  </si>
  <si>
    <t>https://ebookcentral.proquest.com/lib/cam/detail.action?docID=1915286</t>
  </si>
  <si>
    <t>How John Works : Storytelling in the Fourth Gospel</t>
  </si>
  <si>
    <t>BS2615</t>
  </si>
  <si>
    <t>https://ebookcentral.proquest.com/lib/cam/detail.action?docID=4707952</t>
  </si>
  <si>
    <t>Mission Creep : The Militarization of US Foreign Policy</t>
  </si>
  <si>
    <t>JZ1480 -- .M567 2014eb</t>
  </si>
  <si>
    <t>https://ebookcentral.proquest.com/lib/cam/detail.action?docID=1968717</t>
  </si>
  <si>
    <t>Strangers Below : Primitive Baptists and American Culture</t>
  </si>
  <si>
    <t>286/.4</t>
  </si>
  <si>
    <t>BX6383.G88 2015</t>
  </si>
  <si>
    <t>https://ebookcentral.proquest.com/lib/cam/detail.action?docID=4322250</t>
  </si>
  <si>
    <t>Creaturely Love : How Desire Makes Us More and Less Than Human</t>
  </si>
  <si>
    <t>BD436.P488 2017</t>
  </si>
  <si>
    <t>https://ebookcentral.proquest.com/lib/cam/detail.action?docID=4745548</t>
  </si>
  <si>
    <t>Colonizing Paradise : Landscape and Empire in the British West Indies</t>
  </si>
  <si>
    <t>F1621</t>
  </si>
  <si>
    <t>https://ebookcentral.proquest.com/lib/cam/detail.action?docID=2054642</t>
  </si>
  <si>
    <t>St. Augustine's Interpretaion of the Psalms of Ascent</t>
  </si>
  <si>
    <t>https://ebookcentral.proquest.com/lib/cam/detail.action?docID=3135179</t>
  </si>
  <si>
    <t>DIY Detroit : Making Do in a City without Services</t>
  </si>
  <si>
    <t>307.1/40977434</t>
  </si>
  <si>
    <t>HN80.D6.K56 2016</t>
  </si>
  <si>
    <t>https://ebookcentral.proquest.com/lib/cam/detail.action?docID=4392055</t>
  </si>
  <si>
    <t>Constancy and the Ethics of Jane Austen's 'Mansfield Park'</t>
  </si>
  <si>
    <t>PR4034</t>
  </si>
  <si>
    <t>https://ebookcentral.proquest.com/lib/cam/detail.action?docID=3134937</t>
  </si>
  <si>
    <t>Following the Elephant : Ethnomusicologists Contemplate Their Discipline</t>
  </si>
  <si>
    <t>ML3797</t>
  </si>
  <si>
    <t>https://ebookcentral.proquest.com/lib/cam/detail.action?docID=4792706</t>
  </si>
  <si>
    <t>Genre Fusion : A New Approach to History, Fiction, and Memory in Contemporary Spain</t>
  </si>
  <si>
    <t>PQ6147.H5.B746 2014</t>
  </si>
  <si>
    <t>https://ebookcentral.proquest.com/lib/cam/detail.action?docID=4742411</t>
  </si>
  <si>
    <t>Historical Archaeology in South Africa : Material Culture of the Dutch East India Company at the Cape</t>
  </si>
  <si>
    <t>968.7/032</t>
  </si>
  <si>
    <t>DT1813 -- .S37 2014eb</t>
  </si>
  <si>
    <t>https://ebookcentral.proquest.com/lib/cam/detail.action?docID=1911721</t>
  </si>
  <si>
    <t>Reconciling Islam, Christianity and Judaism : Islam's Special Role in Restoring Convivencia</t>
  </si>
  <si>
    <t>https://ebookcentral.proquest.com/lib/cam/detail.action?docID=1998241</t>
  </si>
  <si>
    <t>The Separate City : Black Communities in the Urban South, 1940-1968</t>
  </si>
  <si>
    <t>305.896/073075</t>
  </si>
  <si>
    <t>F234.R59 -- .S558 1995eb</t>
  </si>
  <si>
    <t>https://ebookcentral.proquest.com/lib/cam/detail.action?docID=1915677</t>
  </si>
  <si>
    <t>Island Queens and Mission Wives : How Gender and Empire Remade Hawai'i's Pacific World</t>
  </si>
  <si>
    <t>DU627.T45 2014eb</t>
  </si>
  <si>
    <t>https://ebookcentral.proquest.com/lib/cam/detail.action?docID=1663550</t>
  </si>
  <si>
    <t>Guide to Reference in Genealogy and Biography</t>
  </si>
  <si>
    <t>Z5301 .G85 2015</t>
  </si>
  <si>
    <t>https://ebookcentral.proquest.com/lib/cam/detail.action?docID=2067877</t>
  </si>
  <si>
    <t>Regarding Life : Animals and the Documentary Moving Image</t>
  </si>
  <si>
    <t>PN1995.9.D6.S635 2016</t>
  </si>
  <si>
    <t>https://ebookcentral.proquest.com/lib/cam/detail.action?docID=4694639</t>
  </si>
  <si>
    <t>The Encyclopedic Philosophy of Michel Serres : Writing The Modern World and Anticipating the Future</t>
  </si>
  <si>
    <t>Anaphora Literary Press</t>
  </si>
  <si>
    <t>B2430.S464.M674 2016</t>
  </si>
  <si>
    <t>https://ebookcentral.proquest.com/lib/cam/detail.action?docID=4715330</t>
  </si>
  <si>
    <t>Fortress Europe? : Challenges and Failures of Migration and Asylum Policies</t>
  </si>
  <si>
    <t>https://ebookcentral.proquest.com/lib/cam/detail.action?docID=4825440</t>
  </si>
  <si>
    <t>Dream, Fantasy, and Visual Art in Roman Elegy</t>
  </si>
  <si>
    <t>PA6059</t>
  </si>
  <si>
    <t>https://ebookcentral.proquest.com/lib/cam/detail.action?docID=3445458</t>
  </si>
  <si>
    <t>William Blake's Religious Vision : There's a Methodism in His Madness</t>
  </si>
  <si>
    <t>PR4148.R4 -- J47 2012eb</t>
  </si>
  <si>
    <t>https://ebookcentral.proquest.com/lib/cam/detail.action?docID=1132851</t>
  </si>
  <si>
    <t>Connexions : Histories of Race and Sex in North America</t>
  </si>
  <si>
    <t>https://ebookcentral.proquest.com/lib/cam/detail.action?docID=4792703</t>
  </si>
  <si>
    <t>Feeling Normal : Sexuality and Media Criticism in the Digital Age</t>
  </si>
  <si>
    <t>P96.S45.G754 2016</t>
  </si>
  <si>
    <t>https://ebookcentral.proquest.com/lib/cam/detail.action?docID=4787613</t>
  </si>
  <si>
    <t>Made in Africa : Learning to Compete in Industry</t>
  </si>
  <si>
    <t>HC800 -- .M334 2016eb</t>
  </si>
  <si>
    <t>https://ebookcentral.proquest.com/lib/cam/detail.action?docID=4398624</t>
  </si>
  <si>
    <t>Self-Understanding and Lifeworld : Basic Traits of a Phenomenological Hermeneutics</t>
  </si>
  <si>
    <t>B3279.H94.G361 2017</t>
  </si>
  <si>
    <t>https://ebookcentral.proquest.com/lib/cam/detail.action?docID=5061549</t>
  </si>
  <si>
    <t>Diaspora Lobbies and the US Government : Convergence and Divergence in Making Foreign Policy</t>
  </si>
  <si>
    <t>JZ1480 .D53 2014</t>
  </si>
  <si>
    <t>https://ebookcentral.proquest.com/lib/cam/detail.action?docID=2081618</t>
  </si>
  <si>
    <t>Fantasies of Neglect : Imagining the Urban Child in American Film and Fiction</t>
  </si>
  <si>
    <t>813/.5093523</t>
  </si>
  <si>
    <t>PN1995.9.C45W58 2016</t>
  </si>
  <si>
    <t>https://ebookcentral.proquest.com/lib/cam/detail.action?docID=4661620</t>
  </si>
  <si>
    <t>Trust, but Verify : The Politics of Uncertainty and the Transformation of the Cold War Order, 1969-1991</t>
  </si>
  <si>
    <t>327.09/047</t>
  </si>
  <si>
    <t>D849</t>
  </si>
  <si>
    <t>https://ebookcentral.proquest.com/lib/cam/detail.action?docID=4785182</t>
  </si>
  <si>
    <t>Cannibal Writes : Eating Others in Caribbean and Indian Ocean Women's Writing</t>
  </si>
  <si>
    <t>809/.8928709729</t>
  </si>
  <si>
    <t>https://ebookcentral.proquest.com/lib/cam/detail.action?docID=3414417</t>
  </si>
  <si>
    <t>Holocaust Memory in a Globalizing World</t>
  </si>
  <si>
    <t>Wallstein Verlag</t>
  </si>
  <si>
    <t>D804.3.H656 2017eb</t>
  </si>
  <si>
    <t>https://ebookcentral.proquest.com/lib/cam/detail.action?docID=4818850</t>
  </si>
  <si>
    <t>Modernity between Wagner and Nietzsche</t>
  </si>
  <si>
    <t>B803 -- .P66 2015eb</t>
  </si>
  <si>
    <t>https://ebookcentral.proquest.com/lib/cam/detail.action?docID=1913798</t>
  </si>
  <si>
    <t>Fragile Elite : The Dilemmas of China's Top University Students</t>
  </si>
  <si>
    <t>LA1133</t>
  </si>
  <si>
    <t>https://ebookcentral.proquest.com/lib/cam/detail.action?docID=4414778</t>
  </si>
  <si>
    <t>News under Fire : China’s Propaganda against Japan in the English-Language Press, 1928–1941</t>
  </si>
  <si>
    <t>PN5367.J37.W45 2017</t>
  </si>
  <si>
    <t>https://ebookcentral.proquest.com/lib/cam/detail.action?docID=4838453</t>
  </si>
  <si>
    <t>Black on Both Sides : A Racial History of Trans Identity</t>
  </si>
  <si>
    <t>HQ77.95.U6 .S667 2017</t>
  </si>
  <si>
    <t>https://ebookcentral.proquest.com/lib/cam/detail.action?docID=5118045</t>
  </si>
  <si>
    <t>Make Ours Marvel : Media Convergence and a Comics Universe</t>
  </si>
  <si>
    <t>PN6725.M34 2017</t>
  </si>
  <si>
    <t>https://ebookcentral.proquest.com/lib/cam/detail.action?docID=4894965</t>
  </si>
  <si>
    <t>The Church in Iraq</t>
  </si>
  <si>
    <t>282/.567</t>
  </si>
  <si>
    <t>BX1625</t>
  </si>
  <si>
    <t>https://ebookcentral.proquest.com/lib/cam/detail.action?docID=4914166</t>
  </si>
  <si>
    <t>Our Broad Present : Time and Contemporary Culture</t>
  </si>
  <si>
    <t>BD632 -- .G86 2014eb</t>
  </si>
  <si>
    <t>https://ebookcentral.proquest.com/lib/cam/detail.action?docID=1634845</t>
  </si>
  <si>
    <t>First Thought : Conversations with Allen Ginsberg</t>
  </si>
  <si>
    <t>PS3513.I74.F577 2017</t>
  </si>
  <si>
    <t>https://ebookcentral.proquest.com/lib/cam/detail.action?docID=4745542</t>
  </si>
  <si>
    <t>The Taliban : Afghanistan's Most Lethal Insurgents</t>
  </si>
  <si>
    <t>958.104/7</t>
  </si>
  <si>
    <t>DS371.3 -- .S56 2014eb</t>
  </si>
  <si>
    <t>https://ebookcentral.proquest.com/lib/cam/detail.action?docID=1691175</t>
  </si>
  <si>
    <t>An Unpromising Land : Jewish Migration to Palestine in the Early Twentieth Century</t>
  </si>
  <si>
    <t>JV8749</t>
  </si>
  <si>
    <t>https://ebookcentral.proquest.com/lib/cam/detail.action?docID=1699087</t>
  </si>
  <si>
    <t>Learning from Counternarratives in Teach For America : Moving from Idealism Towards Hope</t>
  </si>
  <si>
    <t>370.71/1</t>
  </si>
  <si>
    <t>LB1715 -- .M3425 2015eb</t>
  </si>
  <si>
    <t>https://ebookcentral.proquest.com/lib/cam/detail.action?docID=3565074</t>
  </si>
  <si>
    <t>EU Asylum Policies : The Power of Strong Regulating States</t>
  </si>
  <si>
    <t>https://ebookcentral.proquest.com/lib/cam/detail.action?docID=4812036</t>
  </si>
  <si>
    <t>Explicit Utopias : Rewriting the Sexual in Women's Pornography</t>
  </si>
  <si>
    <t>HQ471 -- .Z58 2015eb</t>
  </si>
  <si>
    <t>https://ebookcentral.proquest.com/lib/cam/detail.action?docID=3440501</t>
  </si>
  <si>
    <t>Mass Authorship and the Rise of Self-Publishing</t>
  </si>
  <si>
    <t>070.5/93</t>
  </si>
  <si>
    <t>Z285</t>
  </si>
  <si>
    <t>https://ebookcentral.proquest.com/lib/cam/detail.action?docID=4683933</t>
  </si>
  <si>
    <t>Performing China on the London Stage : Chinese Opera and Global Power, 1759-2008</t>
  </si>
  <si>
    <t>https://ebookcentral.proquest.com/lib/cam/detail.action?docID=4720158</t>
  </si>
  <si>
    <t>Music and the Armenian Diaspora : Searching for Home in Exile</t>
  </si>
  <si>
    <t>780.89/91992</t>
  </si>
  <si>
    <t>ML334.9 .A435 2015</t>
  </si>
  <si>
    <t>https://ebookcentral.proquest.com/lib/cam/detail.action?docID=2197610</t>
  </si>
  <si>
    <t>Public Spending and Democracy in Classical Athens</t>
  </si>
  <si>
    <t>336.3/909385</t>
  </si>
  <si>
    <t>HJ217 -- .P75 2015eb</t>
  </si>
  <si>
    <t>https://ebookcentral.proquest.com/lib/cam/detail.action?docID=3443749</t>
  </si>
  <si>
    <t>Shipwreck Modernity : Ecologies of Globalization, 1550–1719</t>
  </si>
  <si>
    <t>809/.93355</t>
  </si>
  <si>
    <t>PN56.S54M46 2015</t>
  </si>
  <si>
    <t>https://ebookcentral.proquest.com/lib/cam/detail.action?docID=4391822</t>
  </si>
  <si>
    <t>The Governors of New Jersey : Biographical Essays</t>
  </si>
  <si>
    <t>F133 -- .G68 2014eb</t>
  </si>
  <si>
    <t>https://ebookcentral.proquest.com/lib/cam/detail.action?docID=1641734</t>
  </si>
  <si>
    <t>Serials to Graphic Novels : The Evolution of the Victorian Illustrated Book</t>
  </si>
  <si>
    <t>NC978 .G64 2017</t>
  </si>
  <si>
    <t>https://ebookcentral.proquest.com/lib/cam/detail.action?docID=4773129</t>
  </si>
  <si>
    <t>Figures of a Changing World : Metaphor and the Emergence of Modern Culture</t>
  </si>
  <si>
    <t>B818 -- .B474 2015eb</t>
  </si>
  <si>
    <t>https://ebookcentral.proquest.com/lib/cam/detail.action?docID=3239958</t>
  </si>
  <si>
    <t>Reinventing Chinese Tradition : The Cultural Politics of Late Socialism</t>
  </si>
  <si>
    <t>951/.43</t>
  </si>
  <si>
    <t>DS796</t>
  </si>
  <si>
    <t>https://ebookcentral.proquest.com/lib/cam/detail.action?docID=4306062</t>
  </si>
  <si>
    <t>Hans-Georg Gadamer on Education, Poetry, and History : Applied Hermeneutics</t>
  </si>
  <si>
    <t>B3248.G32E5 1992</t>
  </si>
  <si>
    <t>https://ebookcentral.proquest.com/lib/cam/detail.action?docID=4429641</t>
  </si>
  <si>
    <t>Long Awaited West : Eastern Europe Since 1944</t>
  </si>
  <si>
    <t>947.0009/045</t>
  </si>
  <si>
    <t>DJK50.B688 2017</t>
  </si>
  <si>
    <t>https://ebookcentral.proquest.com/lib/cam/detail.action?docID=5085091</t>
  </si>
  <si>
    <t>The Politics of Suffering : Syria's Palestinian Refugee Camps</t>
  </si>
  <si>
    <t>HV640.5.P36 -- .G33 2016eb</t>
  </si>
  <si>
    <t>https://ebookcentral.proquest.com/lib/cam/detail.action?docID=4529424</t>
  </si>
  <si>
    <t>Performing New Media, 1890-1915</t>
  </si>
  <si>
    <t>791.43/309034</t>
  </si>
  <si>
    <t>PN1995.75.P474 2015</t>
  </si>
  <si>
    <t>https://ebookcentral.proquest.com/lib/cam/detail.action?docID=2027045</t>
  </si>
  <si>
    <t>Beyond the Inquisition : Ambrogio Catarino Politi and the Origins of the Counter-Reformation</t>
  </si>
  <si>
    <t>BX4705.A56775.C373 2017</t>
  </si>
  <si>
    <t>https://ebookcentral.proquest.com/lib/cam/detail.action?docID=4731614</t>
  </si>
  <si>
    <t>Global Inequality : Anthropological Insights</t>
  </si>
  <si>
    <t>HM821.M39 2016</t>
  </si>
  <si>
    <t>https://ebookcentral.proquest.com/lib/cam/detail.action?docID=4931368</t>
  </si>
  <si>
    <t>Congo Love Song : African American Culture and the Crisis of the Colonial State</t>
  </si>
  <si>
    <t>305.896/073</t>
  </si>
  <si>
    <t>E185.625.D867 2017</t>
  </si>
  <si>
    <t>https://ebookcentral.proquest.com/lib/cam/detail.action?docID=4857672</t>
  </si>
  <si>
    <t>Translating China for Western Readers : Reflective, Critical, and Practical Essays</t>
  </si>
  <si>
    <t>418/.020951</t>
  </si>
  <si>
    <t>P306.8.C6 -- .T73 2015eb</t>
  </si>
  <si>
    <t>https://ebookcentral.proquest.com/lib/cam/detail.action?docID=3408953</t>
  </si>
  <si>
    <t>Proclivity to Genocide : Northern Nigeria Ethno-Religious Conflict, 1966 to Present</t>
  </si>
  <si>
    <t>DT515.4 -- .O428 2014eb</t>
  </si>
  <si>
    <t>https://ebookcentral.proquest.com/lib/cam/detail.action?docID=1775995</t>
  </si>
  <si>
    <t>Violence in the Films of Alfred Hitchcock : A Study in Mimesis</t>
  </si>
  <si>
    <t>https://ebookcentral.proquest.com/lib/cam/detail.action?docID=4836845</t>
  </si>
  <si>
    <t>A Short Treatise on the Metaphysics of Tsunamis</t>
  </si>
  <si>
    <t>111/.84</t>
  </si>
  <si>
    <t>BF789</t>
  </si>
  <si>
    <t>https://ebookcentral.proquest.com/lib/cam/detail.action?docID=3433768</t>
  </si>
  <si>
    <t>Spiritual Grammar : Genre and the Saintly Subject in Islam and Christianity</t>
  </si>
  <si>
    <t>BL65.L2.L664 2017</t>
  </si>
  <si>
    <t>https://ebookcentral.proquest.com/lib/cam/detail.action?docID=4939449</t>
  </si>
  <si>
    <t>Genius Belabored : Childbed Fever and the Tragic Life of Ignaz Semmelweis</t>
  </si>
  <si>
    <t>RG510</t>
  </si>
  <si>
    <t>https://ebookcentral.proquest.com/lib/cam/detail.action?docID=4595259</t>
  </si>
  <si>
    <t>The Victorian Novel of Adulthood : Plot and Purgatory in Fictions of Maturity</t>
  </si>
  <si>
    <t>823/.809354</t>
  </si>
  <si>
    <t>PR878.A375R35 2015</t>
  </si>
  <si>
    <t>https://ebookcentral.proquest.com/lib/cam/detail.action?docID=4050754</t>
  </si>
  <si>
    <t>Hindu Pasts : Women, Religion, Histories</t>
  </si>
  <si>
    <t>BL1153.5.D35 2018</t>
  </si>
  <si>
    <t>https://ebookcentral.proquest.com/lib/cam/detail.action?docID=4938755</t>
  </si>
  <si>
    <t>The Cross and Reaganomics : Conservative Christians Defending Ronald Reagan</t>
  </si>
  <si>
    <t>HC106.8 -- .C76 2013eb</t>
  </si>
  <si>
    <t>https://ebookcentral.proquest.com/lib/cam/detail.action?docID=1216281</t>
  </si>
  <si>
    <t>The Year's Work in Nerds, Wonks, and Neocons</t>
  </si>
  <si>
    <t>E169.12.Y33 2017</t>
  </si>
  <si>
    <t>https://ebookcentral.proquest.com/lib/cam/detail.action?docID=4835476</t>
  </si>
  <si>
    <t>Love Is My Savior : The Arabic Poems of Rumi</t>
  </si>
  <si>
    <t>https://ebookcentral.proquest.com/lib/cam/detail.action?docID=4413816</t>
  </si>
  <si>
    <t>Love As Human Freedom</t>
  </si>
  <si>
    <t>PN56.L6.K68 2017</t>
  </si>
  <si>
    <t>https://ebookcentral.proquest.com/lib/cam/detail.action?docID=4868974</t>
  </si>
  <si>
    <t>Signs That Sing : Hybrid Poetics in Old English Verse</t>
  </si>
  <si>
    <t>PR201.M375 2017eb</t>
  </si>
  <si>
    <t>https://ebookcentral.proquest.com/lib/cam/detail.action?docID=4857055</t>
  </si>
  <si>
    <t>Shakespeare Expressed : Page, Stage, and Classroom in Shakespeare and His Contemporaries</t>
  </si>
  <si>
    <t>PR2987 -- .S465 2013eb</t>
  </si>
  <si>
    <t>https://ebookcentral.proquest.com/lib/cam/detail.action?docID=1367856</t>
  </si>
  <si>
    <t>A Cosmopolitan Hermit : Modernity and Tradition in the Philosophy of Josef Pieper</t>
  </si>
  <si>
    <t>B3323</t>
  </si>
  <si>
    <t>https://ebookcentral.proquest.com/lib/cam/detail.action?docID=3134952</t>
  </si>
  <si>
    <t>The Ryukyu Kingdom : Cornerstone of East Asia</t>
  </si>
  <si>
    <t>952/.2902</t>
  </si>
  <si>
    <t>DS895.R95.A336 2017</t>
  </si>
  <si>
    <t>https://ebookcentral.proquest.com/lib/cam/detail.action?docID=4669048</t>
  </si>
  <si>
    <t>The Indicted South : Public Criticism, Southern Inferiority, and the Politics of Whiteness</t>
  </si>
  <si>
    <t>F209 -- .M29 2014eb</t>
  </si>
  <si>
    <t>https://ebookcentral.proquest.com/lib/cam/detail.action?docID=1655856</t>
  </si>
  <si>
    <t>Corporate Power, Oligopolies, and the Crisis of the State</t>
  </si>
  <si>
    <t>HD2741.S843 2015eb</t>
  </si>
  <si>
    <t>https://ebookcentral.proquest.com/lib/cam/detail.action?docID=3408976</t>
  </si>
  <si>
    <t>Books Are Made Out of Books : A Guide to Cormac Mccarthy's Literary Influences</t>
  </si>
  <si>
    <t>PS3563.C337.C749 2017</t>
  </si>
  <si>
    <t>https://ebookcentral.proquest.com/lib/cam/detail.action?docID=4894964</t>
  </si>
  <si>
    <t>What Money Wants : An Economy of Desire</t>
  </si>
  <si>
    <t>HG220</t>
  </si>
  <si>
    <t>https://ebookcentral.proquest.com/lib/cam/detail.action?docID=1642555</t>
  </si>
  <si>
    <t>Modernizing a Slave Economy : The Economic Vision of the Confederate Nation</t>
  </si>
  <si>
    <t>HC105.65 -- .M354 2009eb</t>
  </si>
  <si>
    <t>https://ebookcentral.proquest.com/lib/cam/detail.action?docID=4322012</t>
  </si>
  <si>
    <t>The Deep Ecology of Rhetoric in Mencius and Aristotle : A Somatic Guide</t>
  </si>
  <si>
    <t>B128.M324 -- .R635 2016eb</t>
  </si>
  <si>
    <t>https://ebookcentral.proquest.com/lib/cam/detail.action?docID=4528795</t>
  </si>
  <si>
    <t>Hölderlin's Hymns Germania and the Rhine</t>
  </si>
  <si>
    <t>PT2359.H2 -- .H453 2014eb</t>
  </si>
  <si>
    <t>https://ebookcentral.proquest.com/lib/cam/detail.action?docID=4531593</t>
  </si>
  <si>
    <t>Art beyond Borders : Artistic Exchange in Communist Europe (1945-1989)</t>
  </si>
  <si>
    <t>N72.S6 -- .A78 2016eb</t>
  </si>
  <si>
    <t>https://ebookcentral.proquest.com/lib/cam/detail.action?docID=4443132</t>
  </si>
  <si>
    <t>Royal Inscriptions of Sennacherib, King of Assyria (704-681 BC)</t>
  </si>
  <si>
    <t>492/.1</t>
  </si>
  <si>
    <t>PJ3837.S7 -- G79 2012eb</t>
  </si>
  <si>
    <t>https://ebookcentral.proquest.com/lib/cam/detail.action?docID=3155654</t>
  </si>
  <si>
    <t>Knowledge, Power, and Black Politics : Collected Essays</t>
  </si>
  <si>
    <t>E185.615.J63 2014eb</t>
  </si>
  <si>
    <t>https://ebookcentral.proquest.com/lib/cam/detail.action?docID=3408801</t>
  </si>
  <si>
    <t>Way Too Cool : Selling Out Race and Ethics</t>
  </si>
  <si>
    <t>HF5813.U6 W55 2015</t>
  </si>
  <si>
    <t>https://ebookcentral.proquest.com/lib/cam/detail.action?docID=2145073</t>
  </si>
  <si>
    <t>Chinese Philosophy on Teaching and Learning : Xueji in the Twenty-First Century</t>
  </si>
  <si>
    <t>LA1131 -- .C456 2016eb</t>
  </si>
  <si>
    <t>https://ebookcentral.proquest.com/lib/cam/detail.action?docID=4442177</t>
  </si>
  <si>
    <t>Hollywood's New Yorker : The Making of Martin Scorsese</t>
  </si>
  <si>
    <t>PN1998.3.S39R39 2013</t>
  </si>
  <si>
    <t>https://ebookcentral.proquest.com/lib/cam/detail.action?docID=3408713</t>
  </si>
  <si>
    <t>Counting Species : Biodiversity in Global Environmental Politics</t>
  </si>
  <si>
    <t>QH541.15.B56 -- .Y68 2015eb</t>
  </si>
  <si>
    <t>https://ebookcentral.proquest.com/lib/cam/detail.action?docID=1977410</t>
  </si>
  <si>
    <t>Deciphering the New Antisemitism</t>
  </si>
  <si>
    <t>DS145.D435 2016</t>
  </si>
  <si>
    <t>https://ebookcentral.proquest.com/lib/cam/detail.action?docID=4088463</t>
  </si>
  <si>
    <t>Demosthenes, Speeches 1-17</t>
  </si>
  <si>
    <t>885/.01</t>
  </si>
  <si>
    <t>PA3951 -- .E5 2011eb</t>
  </si>
  <si>
    <t>https://ebookcentral.proquest.com/lib/cam/detail.action?docID=3443576</t>
  </si>
  <si>
    <t>The Pearl of Dari : Poetry and Personhood among Young Afghans in Iran</t>
  </si>
  <si>
    <t>305.891/593055</t>
  </si>
  <si>
    <t>DS269.A34 -- O57 2015eb</t>
  </si>
  <si>
    <t>https://ebookcentral.proquest.com/lib/cam/detail.action?docID=4385968</t>
  </si>
  <si>
    <t>On the Outskirts</t>
  </si>
  <si>
    <t>University of Queensland Press</t>
  </si>
  <si>
    <t>PN6101.K567 2017eb</t>
  </si>
  <si>
    <t>https://ebookcentral.proquest.com/lib/cam/detail.action?docID=4857552</t>
  </si>
  <si>
    <t>Haitian Connections in the Atlantic World : Recognition after Revolution</t>
  </si>
  <si>
    <t>972.94/04</t>
  </si>
  <si>
    <t>F1922.G34 2015</t>
  </si>
  <si>
    <t>https://ebookcentral.proquest.com/lib/cam/detail.action?docID=4322267</t>
  </si>
  <si>
    <t>Green Hills of Magic : West Virginia Folktales from Europe</t>
  </si>
  <si>
    <t>GR110.W4.M78 1970eb</t>
  </si>
  <si>
    <t>https://ebookcentral.proquest.com/lib/cam/detail.action?docID=1915867</t>
  </si>
  <si>
    <t>John Witherspoon's American Revolution : Enlightenment and Religion from the Creation of Britain to the Founding of the United States</t>
  </si>
  <si>
    <t>E302.6.W7.M355 2017</t>
  </si>
  <si>
    <t>https://ebookcentral.proquest.com/lib/cam/detail.action?docID=4525829</t>
  </si>
  <si>
    <t>Linking Restoration and Ecological Succession</t>
  </si>
  <si>
    <t>Science; Environmental Studies; Economics; Science: Biology/Natural History</t>
  </si>
  <si>
    <t>QH301-705</t>
  </si>
  <si>
    <t>https://ebookcentral.proquest.com/lib/cam/detail.action?docID=337042</t>
  </si>
  <si>
    <t>Happily Ever After : The Romance Story in Popular Culture</t>
  </si>
  <si>
    <t>813/.08509</t>
  </si>
  <si>
    <t>PS374.L6R58 2016</t>
  </si>
  <si>
    <t>https://ebookcentral.proquest.com/lib/cam/detail.action?docID=4426689</t>
  </si>
  <si>
    <t>Sourcebook in the History of Philosophy of Language : Primary Source Texts from the Pre-Socratics to Mill</t>
  </si>
  <si>
    <t>Philosophy; Language/Linguistics</t>
  </si>
  <si>
    <t>https://ebookcentral.proquest.com/lib/cam/detail.action?docID=4676665</t>
  </si>
  <si>
    <t>Exile in Colonial Asia : Kings, Convicts, Commemoration</t>
  </si>
  <si>
    <t>305.9/0691405</t>
  </si>
  <si>
    <t>DS33.1.E93 2016</t>
  </si>
  <si>
    <t>https://ebookcentral.proquest.com/lib/cam/detail.action?docID=4605914</t>
  </si>
  <si>
    <t>The Sophists in Plato's Dialogues</t>
  </si>
  <si>
    <t>B395.C654 2015</t>
  </si>
  <si>
    <t>https://ebookcentral.proquest.com/lib/cam/detail.action?docID=3409042</t>
  </si>
  <si>
    <t>Truffaut on Cinema</t>
  </si>
  <si>
    <t>PN1998.3.T78.T784 2017</t>
  </si>
  <si>
    <t>https://ebookcentral.proquest.com/lib/cam/detail.action?docID=4830660</t>
  </si>
  <si>
    <t>Epics of Empire and Frontier : Alonso de Ercilla and Gaspar de Villagrá As Spanish Colonial Chroniclers</t>
  </si>
  <si>
    <t>PQ6066 -- .L68 2016eb</t>
  </si>
  <si>
    <t>https://ebookcentral.proquest.com/lib/cam/detail.action?docID=4514579</t>
  </si>
  <si>
    <t>Translation and the Arts in Modern France</t>
  </si>
  <si>
    <t>NX549.A1.T736 2017</t>
  </si>
  <si>
    <t>https://ebookcentral.proquest.com/lib/cam/detail.action?docID=4983595</t>
  </si>
  <si>
    <t>Reshaping the Boundaries : The Christian Intersection of China and the West in the Modern Era</t>
  </si>
  <si>
    <t>BR1285.R474 2016</t>
  </si>
  <si>
    <t>https://ebookcentral.proquest.com/lib/cam/detail.action?docID=4787037</t>
  </si>
  <si>
    <t>History and National Ideology in Greek Postmodernist Fiction</t>
  </si>
  <si>
    <t>PA3267 -- .K36 2013eb</t>
  </si>
  <si>
    <t>https://ebookcentral.proquest.com/lib/cam/detail.action?docID=1157601</t>
  </si>
  <si>
    <t>What Is Fiction For? : Literary Humanism Restored</t>
  </si>
  <si>
    <t>PN3331 -- .H377 2015eb</t>
  </si>
  <si>
    <t>https://ebookcentral.proquest.com/lib/cam/detail.action?docID=1931721</t>
  </si>
  <si>
    <t>Alcohol and Nationhood in Nineteenth-Century Mexico</t>
  </si>
  <si>
    <t>PQ7111 -- .T664 2015eb</t>
  </si>
  <si>
    <t>https://ebookcentral.proquest.com/lib/cam/detail.action?docID=2025421</t>
  </si>
  <si>
    <t>Enmity and Feuding in Classical Athens</t>
  </si>
  <si>
    <t>938/.504</t>
  </si>
  <si>
    <t>DF289.A46 2015</t>
  </si>
  <si>
    <t>https://ebookcentral.proquest.com/lib/cam/detail.action?docID=4397279</t>
  </si>
  <si>
    <t>The Death of Deliberation : Partisanship and Polarization in the United States Senate</t>
  </si>
  <si>
    <t>JK1161 -- W35 2013eb</t>
  </si>
  <si>
    <t>https://ebookcentral.proquest.com/lib/cam/detail.action?docID=1441829</t>
  </si>
  <si>
    <t>Novel Approaches to Anthropology : Contributions to Literary Anthropology</t>
  </si>
  <si>
    <t>PN51 -- .N66 2013eb</t>
  </si>
  <si>
    <t>https://ebookcentral.proquest.com/lib/cam/detail.action?docID=1389492</t>
  </si>
  <si>
    <t>Literary Tourism : The Case of Norman Mailer – Mailer’s Life and Legacy</t>
  </si>
  <si>
    <t>PS3525.A4152 -- .P686 2016eb</t>
  </si>
  <si>
    <t>https://ebookcentral.proquest.com/lib/cam/detail.action?docID=4500362</t>
  </si>
  <si>
    <t>Lincoln, Congress, and Emancipation</t>
  </si>
  <si>
    <t>E457.2.L823 2016</t>
  </si>
  <si>
    <t>https://ebookcentral.proquest.com/lib/cam/detail.action?docID=4791062</t>
  </si>
  <si>
    <t>Ernst Toller and German Society : Intellectuals as Leaders and Critics, 1914–1939</t>
  </si>
  <si>
    <t>PT2642.O65 -- Z654 2013eb</t>
  </si>
  <si>
    <t>https://ebookcentral.proquest.com/lib/cam/detail.action?docID=1471882</t>
  </si>
  <si>
    <t>Spectacle of Property : The House in American Film</t>
  </si>
  <si>
    <t>791.43/6564</t>
  </si>
  <si>
    <t>PN1995.9.D84 .R463 2017</t>
  </si>
  <si>
    <t>https://ebookcentral.proquest.com/lib/cam/detail.action?docID=5116562</t>
  </si>
  <si>
    <t>Mathilde Blind : Late-Victorian Culture and the Woman of Letters</t>
  </si>
  <si>
    <t>PR4149.B55.D543 2016</t>
  </si>
  <si>
    <t>https://ebookcentral.proquest.com/lib/cam/detail.action?docID=4755332</t>
  </si>
  <si>
    <t>Royal Inscriptions of Tiglath-Pileser III (744-727 BC) and Shalmaneser V (726-722 BC), Kings of Assyria</t>
  </si>
  <si>
    <t>PJ3837.T5 -- T34 2011eb</t>
  </si>
  <si>
    <t>https://ebookcentral.proquest.com/lib/cam/detail.action?docID=3155631</t>
  </si>
  <si>
    <t>The Nutshell Technique : Crack the Secret of Successful Screenwriting</t>
  </si>
  <si>
    <t>JQ1849.A98B37273</t>
  </si>
  <si>
    <t>https://ebookcentral.proquest.com/lib/cam/detail.action?docID=4397288</t>
  </si>
  <si>
    <t>Law of Desire : Temporary Marriage in Shi'i Iran, Revised Edition</t>
  </si>
  <si>
    <t>HQ803.H27 2014</t>
  </si>
  <si>
    <t>https://ebookcentral.proquest.com/lib/cam/detail.action?docID=3410202</t>
  </si>
  <si>
    <t>Beyond Boundaries : Rethinking Music Circulation in Early Modern England</t>
  </si>
  <si>
    <t>780.942/0903</t>
  </si>
  <si>
    <t>ML285.B49 2017</t>
  </si>
  <si>
    <t>https://ebookcentral.proquest.com/lib/cam/detail.action?docID=4787864</t>
  </si>
  <si>
    <t>Crossing Traditions : American Popular Music in Local and Global Contexts</t>
  </si>
  <si>
    <t>ML3477 -- .C78 2013eb</t>
  </si>
  <si>
    <t>https://ebookcentral.proquest.com/lib/cam/detail.action?docID=1315698</t>
  </si>
  <si>
    <t>Clement of Alexandria : A Project of Christian Perfection</t>
  </si>
  <si>
    <t>230/13092</t>
  </si>
  <si>
    <t>BR1720.C6 -- A84 2008eb</t>
  </si>
  <si>
    <t>https://ebookcentral.proquest.com/lib/cam/detail.action?docID=742490</t>
  </si>
  <si>
    <t>What We Now Know about Race and Ethnicity</t>
  </si>
  <si>
    <t>HT1521.B354 2015</t>
  </si>
  <si>
    <t>https://ebookcentral.proquest.com/lib/cam/detail.action?docID=4007286</t>
  </si>
  <si>
    <t>Safety Nets in Africa : Effective Mechanisms to Reach the Poor and Most Vulnerable</t>
  </si>
  <si>
    <t>362.5/561096</t>
  </si>
  <si>
    <t>HC800.Z9 -- .S244 2015eb</t>
  </si>
  <si>
    <t>https://ebookcentral.proquest.com/lib/cam/detail.action?docID=1962953</t>
  </si>
  <si>
    <t>Consuming Japan : Popular Culture and the Globalizing of 1980s America</t>
  </si>
  <si>
    <t>E169.12.M39 2017</t>
  </si>
  <si>
    <t>https://ebookcentral.proquest.com/lib/cam/detail.action?docID=5015526</t>
  </si>
  <si>
    <t>The Study of Africa Volume 2: Global and Transnational Engagements</t>
  </si>
  <si>
    <t>DT31 -- .S78 2007eb</t>
  </si>
  <si>
    <t>https://ebookcentral.proquest.com/lib/cam/detail.action?docID=1135328</t>
  </si>
  <si>
    <t>Circle of Fire : Dickens' Vision and Style and the Popular Victorian Theater</t>
  </si>
  <si>
    <t>PR4581.A9 1966eb</t>
  </si>
  <si>
    <t>https://ebookcentral.proquest.com/lib/cam/detail.action?docID=1915703</t>
  </si>
  <si>
    <t>A Delicate Balance: Global Perspectives on Innovation and Tradition in the History of Mathematics</t>
  </si>
  <si>
    <t>https://ebookcentral.proquest.com/lib/cam/detail.action?docID=2096133</t>
  </si>
  <si>
    <t>Africa's First Democrats : Somalia's Aden A. Osman and Abdirazak H. Hussen</t>
  </si>
  <si>
    <t>DT407S263 2016</t>
  </si>
  <si>
    <t>https://ebookcentral.proquest.com/lib/cam/detail.action?docID=4735384</t>
  </si>
  <si>
    <t>African Diasporic Women's Narratives : Politics of Resistance, Survival, and Citizenship</t>
  </si>
  <si>
    <t>PS153.N5 -- .A3986 2014eb</t>
  </si>
  <si>
    <t>https://ebookcentral.proquest.com/lib/cam/detail.action?docID=1690893</t>
  </si>
  <si>
    <t>The Uncertain Legacy of Crisis : European Foreign Policy Faces the Future</t>
  </si>
  <si>
    <t>JZ1570.A5 -- Y68 2014eb</t>
  </si>
  <si>
    <t>https://ebookcentral.proquest.com/lib/cam/detail.action?docID=1598169</t>
  </si>
  <si>
    <t>The Ordeal of the Reunion : A New History of Reconstruction</t>
  </si>
  <si>
    <t>E668 -- .S943 2014eb</t>
  </si>
  <si>
    <t>https://ebookcentral.proquest.com/lib/cam/detail.action?docID=1776313</t>
  </si>
  <si>
    <t>The Tragedy of Philosophy : Kant's Critique of Judgment and the Project of Aesthetics</t>
  </si>
  <si>
    <t>B2798.C757 2016</t>
  </si>
  <si>
    <t>https://ebookcentral.proquest.com/lib/cam/detail.action?docID=4675524</t>
  </si>
  <si>
    <t>The Zoomorphic Imagination in Chinese Art and Culture</t>
  </si>
  <si>
    <t>704.9/4320951</t>
  </si>
  <si>
    <t>N7340.Z666 2016</t>
  </si>
  <si>
    <t>https://ebookcentral.proquest.com/lib/cam/detail.action?docID=4689997</t>
  </si>
  <si>
    <t>Staging Ghana : Artistry and Nationalism in State Dance Ensembles</t>
  </si>
  <si>
    <t>793.3/19667</t>
  </si>
  <si>
    <t>GV1713.G4 S33 2015</t>
  </si>
  <si>
    <t>https://ebookcentral.proquest.com/lib/cam/detail.action?docID=2122783</t>
  </si>
  <si>
    <t>Innocent Abroad : Charles Dickens's American Engagements</t>
  </si>
  <si>
    <t>PR4581.M48 1990eb</t>
  </si>
  <si>
    <t>https://ebookcentral.proquest.com/lib/cam/detail.action?docID=1915845</t>
  </si>
  <si>
    <t>Unite or Perish : Africa Fifty Years after the Founding of the Oau</t>
  </si>
  <si>
    <t>Africa Institute of South Africa</t>
  </si>
  <si>
    <t>341.7/3096</t>
  </si>
  <si>
    <t>DT30.5</t>
  </si>
  <si>
    <t>https://ebookcentral.proquest.com/lib/cam/detail.action?docID=2051168</t>
  </si>
  <si>
    <t>Collectivization of Agriculture in Communist Eastern Europe : Comparison and Entanglements</t>
  </si>
  <si>
    <t>338.1/847</t>
  </si>
  <si>
    <t>HD1493.E852 -- .C655 2014eb</t>
  </si>
  <si>
    <t>https://ebookcentral.proquest.com/lib/cam/detail.action?docID=3137370</t>
  </si>
  <si>
    <t>Faust Adaptations from Marlowe to Aboudoma and Markland</t>
  </si>
  <si>
    <t>PN6071.F33.F25 2016</t>
  </si>
  <si>
    <t>https://ebookcentral.proquest.com/lib/cam/detail.action?docID=4743264</t>
  </si>
  <si>
    <t>The Power of Song : Nonviolent National Culture in the Baltic Singing Revolution</t>
  </si>
  <si>
    <t>https://ebookcentral.proquest.com/lib/cam/detail.action?docID=3444572</t>
  </si>
  <si>
    <t>Daoism, Meditation, and the Wonders of Serenity : From the Latter Han Dynasty (25-220) to the Tang Dynasty (618-907)</t>
  </si>
  <si>
    <t>299.5/1443509</t>
  </si>
  <si>
    <t>BL1923 -- .E845 2015eb</t>
  </si>
  <si>
    <t>https://ebookcentral.proquest.com/lib/cam/detail.action?docID=4396586</t>
  </si>
  <si>
    <t>The Fabric of Indigeneity</t>
  </si>
  <si>
    <t>305.894/6</t>
  </si>
  <si>
    <t>DS832.L49 2016</t>
  </si>
  <si>
    <t>https://ebookcentral.proquest.com/lib/cam/detail.action?docID=4562655</t>
  </si>
  <si>
    <t>Equitable Sharing : Distributing the Benefits and Detriments of Democratic Society</t>
  </si>
  <si>
    <t>JC423 -- .K567 2014eb</t>
  </si>
  <si>
    <t>https://ebookcentral.proquest.com/lib/cam/detail.action?docID=1582811</t>
  </si>
  <si>
    <t>Advances in Digital Scholarly Editing : Papers presented at the DiXiT conferences in The Hague, Cologne, and Antwerp</t>
  </si>
  <si>
    <t>Z286.E43 A28 2017</t>
  </si>
  <si>
    <t>https://ebookcentral.proquest.com/lib/cam/detail.action?docID=5161280</t>
  </si>
  <si>
    <t>Quakers and Abolition</t>
  </si>
  <si>
    <t>E441</t>
  </si>
  <si>
    <t>https://ebookcentral.proquest.com/lib/cam/detail.action?docID=3414363</t>
  </si>
  <si>
    <t>The Diplomat in the Corner Office : Corporate Foreign Policy</t>
  </si>
  <si>
    <t>JZ5538</t>
  </si>
  <si>
    <t>https://ebookcentral.proquest.com/lib/cam/detail.action?docID=3568977</t>
  </si>
  <si>
    <t>The Science of Sympathy : Morality, Evolution, and Victorian Civilization</t>
  </si>
  <si>
    <t>Science: Biology/Natural History; Science; Philosophy</t>
  </si>
  <si>
    <t>BJ1475</t>
  </si>
  <si>
    <t>https://ebookcentral.proquest.com/lib/cam/detail.action?docID=4792739</t>
  </si>
  <si>
    <t>Truth Matters : Knowledge, Politics, Ethics, Religion</t>
  </si>
  <si>
    <t>BD171.T82 2013eb</t>
  </si>
  <si>
    <t>https://ebookcentral.proquest.com/lib/cam/detail.action?docID=3332667</t>
  </si>
  <si>
    <t>The Death Penalty in China : Policy, Practice, and Reform</t>
  </si>
  <si>
    <t>HV8699.C6.D434 2016</t>
  </si>
  <si>
    <t>https://ebookcentral.proquest.com/lib/cam/detail.action?docID=4550154</t>
  </si>
  <si>
    <t>Chinese Politics in the Xi Jinping Era : Reassessing Collective Leadership</t>
  </si>
  <si>
    <t>DS779.46.L5227 2016eb</t>
  </si>
  <si>
    <t>https://ebookcentral.proquest.com/lib/cam/detail.action?docID=4549826</t>
  </si>
  <si>
    <t>Abortion Pills, Test Tube Babies, and Sex Toys : Emerging Sexual and Reproductive Technologies in the Middle East and North Africa</t>
  </si>
  <si>
    <t>RG133.5.A267 2016</t>
  </si>
  <si>
    <t>https://ebookcentral.proquest.com/lib/cam/detail.action?docID=4913732</t>
  </si>
  <si>
    <t>Blogs &amp; Literature &amp; Activism : Popular Egyptian blogs and literature in touch</t>
  </si>
  <si>
    <t>PJ7796.I8.R367 2017</t>
  </si>
  <si>
    <t>https://ebookcentral.proquest.com/lib/cam/detail.action?docID=4831464</t>
  </si>
  <si>
    <t>Learning in Morocco : Language Politics and the Abandoned Educational Dream</t>
  </si>
  <si>
    <t>LA1942.B68 2016</t>
  </si>
  <si>
    <t>https://ebookcentral.proquest.com/lib/cam/detail.action?docID=4508888</t>
  </si>
  <si>
    <t>The Letter and the Cosmos : How the Alphabet Has Shaped the Western View of the World</t>
  </si>
  <si>
    <t>P211</t>
  </si>
  <si>
    <t>https://ebookcentral.proquest.com/lib/cam/detail.action?docID=4624944</t>
  </si>
  <si>
    <t>Forgery and Impersonation in Imperial China : Popular Deceptions and the High Qing State</t>
  </si>
  <si>
    <t>364.16/309510903</t>
  </si>
  <si>
    <t>https://ebookcentral.proquest.com/lib/cam/detail.action?docID=4649017</t>
  </si>
  <si>
    <t>The Minor Arts of Daily Life : Popular Culture in Taiwan</t>
  </si>
  <si>
    <t>306/.095124/9</t>
  </si>
  <si>
    <t>HN747.5 -- .M56 2004eb</t>
  </si>
  <si>
    <t>https://ebookcentral.proquest.com/lib/cam/detail.action?docID=3413643</t>
  </si>
  <si>
    <t>Palestinian Commemoration in Israel : Calendars, Monuments, and Martyrs</t>
  </si>
  <si>
    <t>394/.40899274</t>
  </si>
  <si>
    <t>DS119</t>
  </si>
  <si>
    <t>https://ebookcentral.proquest.com/lib/cam/detail.action?docID=3037586</t>
  </si>
  <si>
    <t>Plontinus Ennead IV.3-4.29 : Problems Concerning the Soul : Translation, with an Introduction, and Commentary</t>
  </si>
  <si>
    <t>B693.E52 -- .P568 2015eb</t>
  </si>
  <si>
    <t>https://ebookcentral.proquest.com/lib/cam/detail.action?docID=3384764</t>
  </si>
  <si>
    <t>Beyond the Qurʾān : Early Ismāʿῑlῑ Taʾwῑl and the Secrets of the Prophets</t>
  </si>
  <si>
    <t>BP195.I8 H64 2016</t>
  </si>
  <si>
    <t>https://ebookcentral.proquest.com/lib/cam/detail.action?docID=4525868</t>
  </si>
  <si>
    <t>Land Between the Lakes</t>
  </si>
  <si>
    <t>F457.L15.S658 1971eb</t>
  </si>
  <si>
    <t>https://ebookcentral.proquest.com/lib/cam/detail.action?docID=1915903</t>
  </si>
  <si>
    <t>Digging for the Disappeared : Forensic Science after Atrocity</t>
  </si>
  <si>
    <t>Science; Science: Biology/Natural History; Social Science</t>
  </si>
  <si>
    <t>GN69</t>
  </si>
  <si>
    <t>https://ebookcentral.proquest.com/lib/cam/detail.action?docID=1985024</t>
  </si>
  <si>
    <t>Health and Wealth on the Bosnian Market : Intimate Debt</t>
  </si>
  <si>
    <t>GN296.5.B54J37 2017</t>
  </si>
  <si>
    <t>https://ebookcentral.proquest.com/lib/cam/detail.action?docID=4804425</t>
  </si>
  <si>
    <t>Impulse to Act : A New Anthropology of Resistance and Social Justice</t>
  </si>
  <si>
    <t>HM883.I67 2016</t>
  </si>
  <si>
    <t>https://ebookcentral.proquest.com/lib/cam/detail.action?docID=4721241</t>
  </si>
  <si>
    <t>Modernizing Marriage : Family, Ideology, and Law in Nineteenth- and Early Twentieth-Century Egypt</t>
  </si>
  <si>
    <t>HQ691.7 -- .C866 2015eb</t>
  </si>
  <si>
    <t>https://ebookcentral.proquest.com/lib/cam/detail.action?docID=3440570</t>
  </si>
  <si>
    <t>German Idealism's Trinitarian Legacy</t>
  </si>
  <si>
    <t>231/.0440943</t>
  </si>
  <si>
    <t>BT111.3.S35 2016</t>
  </si>
  <si>
    <t>https://ebookcentral.proquest.com/lib/cam/detail.action?docID=4722257</t>
  </si>
  <si>
    <t>The Would-Be Author : Molière and the Comedy of Print</t>
  </si>
  <si>
    <t>PQ1860.A2 -- .C35 2015eb</t>
  </si>
  <si>
    <t>https://ebookcentral.proquest.com/lib/cam/detail.action?docID=2095925</t>
  </si>
  <si>
    <t>Cinéma Militant : Political Filmmaking and May 1968</t>
  </si>
  <si>
    <t>PN1993.5.F7.G736 2016eb</t>
  </si>
  <si>
    <t>https://ebookcentral.proquest.com/lib/cam/detail.action?docID=4528381</t>
  </si>
  <si>
    <t>The Ashley Cooper Plan : The Founding of Carolina and the Origins of Southern Political Culture</t>
  </si>
  <si>
    <t>F257</t>
  </si>
  <si>
    <t>https://ebookcentral.proquest.com/lib/cam/detail.action?docID=4443589</t>
  </si>
  <si>
    <t>Peace Agreements and Durable Peace in Africa</t>
  </si>
  <si>
    <t>JZ5584.A35.P39 2016</t>
  </si>
  <si>
    <t>https://ebookcentral.proquest.com/lib/cam/detail.action?docID=4717537</t>
  </si>
  <si>
    <t>Golem : Modern Wars and Their Monsters</t>
  </si>
  <si>
    <t>BM531.B37 2016</t>
  </si>
  <si>
    <t>https://ebookcentral.proquest.com/lib/cam/detail.action?docID=4500671</t>
  </si>
  <si>
    <t>After the Revolution : Youth, Democracy, and the Politics of Disappointment in Serbia</t>
  </si>
  <si>
    <t>949.7103/1</t>
  </si>
  <si>
    <t>JN9656+</t>
  </si>
  <si>
    <t>https://ebookcentral.proquest.com/lib/cam/detail.action?docID=1680677</t>
  </si>
  <si>
    <t>Critical Qualitative Inquiry : Foundations and Futures</t>
  </si>
  <si>
    <t>001.4/2</t>
  </si>
  <si>
    <t>H62 -- .C697426 2015eb</t>
  </si>
  <si>
    <t>https://ebookcentral.proquest.com/lib/cam/detail.action?docID=1996929</t>
  </si>
  <si>
    <t>The Real Thing : Imitation and Authenticity in American Culture, 1880-1940</t>
  </si>
  <si>
    <t>E169.1 -- .O78 2014eb</t>
  </si>
  <si>
    <t>https://ebookcentral.proquest.com/lib/cam/detail.action?docID=1781371</t>
  </si>
  <si>
    <t>Jewish Rights, National Rites : Nationalism and Autonomy in Late Imperial and Revolutionary Russia</t>
  </si>
  <si>
    <t>https://ebookcentral.proquest.com/lib/cam/detail.action?docID=1793952</t>
  </si>
  <si>
    <t>Truth and Irony</t>
  </si>
  <si>
    <t>B785</t>
  </si>
  <si>
    <t>https://ebookcentral.proquest.com/lib/cam/detail.action?docID=4412733</t>
  </si>
  <si>
    <t>Cuban Archaeology in the Caribbean</t>
  </si>
  <si>
    <t>F2172.C833 2016</t>
  </si>
  <si>
    <t>https://ebookcentral.proquest.com/lib/cam/detail.action?docID=4696558</t>
  </si>
  <si>
    <t>Commons Democracy : Reading the Politics of Participation in the Early United States</t>
  </si>
  <si>
    <t>E310 -- .N45 2016eb</t>
  </si>
  <si>
    <t>https://ebookcentral.proquest.com/lib/cam/detail.action?docID=4395351</t>
  </si>
  <si>
    <t>Urbanization and Growth</t>
  </si>
  <si>
    <t>HT321 -- .U338 2009eb</t>
  </si>
  <si>
    <t>https://ebookcentral.proquest.com/lib/cam/detail.action?docID=459360</t>
  </si>
  <si>
    <t>Undivided Rights : Women of Color Organizing for Reproductive Justice</t>
  </si>
  <si>
    <t>Health; Medicine; Social Science</t>
  </si>
  <si>
    <t>RG133.U535 2004eb</t>
  </si>
  <si>
    <t>https://ebookcentral.proquest.com/lib/cam/detail.action?docID=4596550</t>
  </si>
  <si>
    <t>ReJoycing : New Readings of Dubliners</t>
  </si>
  <si>
    <t>PR4780 -- .R43 1999eb</t>
  </si>
  <si>
    <t>https://ebookcentral.proquest.com/lib/cam/detail.action?docID=1915080</t>
  </si>
  <si>
    <t>War in the Balkans: an Encyclopedic History from the Fall of the Ottoman Empire to the Breakup of Yugoslavia</t>
  </si>
  <si>
    <t>DR45 -- .W37 2014eb</t>
  </si>
  <si>
    <t>https://ebookcentral.proquest.com/lib/cam/detail.action?docID=1816237</t>
  </si>
  <si>
    <t>Fashioning the Nineteenth Century : Habits of Being 3</t>
  </si>
  <si>
    <t>PN56.C684 -- .F45 2014eb</t>
  </si>
  <si>
    <t>https://ebookcentral.proquest.com/lib/cam/detail.action?docID=1793915</t>
  </si>
  <si>
    <t>Costume : Performing Identities Through Dress</t>
  </si>
  <si>
    <t>GT511 -- .S447 2015eb</t>
  </si>
  <si>
    <t>https://ebookcentral.proquest.com/lib/cam/detail.action?docID=1953307</t>
  </si>
  <si>
    <t>Good White People : The Problem with Middle-Class White Anti-Racism</t>
  </si>
  <si>
    <t>E184.A1 -- .S954 2014eb</t>
  </si>
  <si>
    <t>https://ebookcentral.proquest.com/lib/cam/detail.action?docID=3408881</t>
  </si>
  <si>
    <t>Trickster Comes West : Pan-African Influence in Early Black Diasporan Narratives</t>
  </si>
  <si>
    <t>810.9/8960729</t>
  </si>
  <si>
    <t>PR9205.05 -- .M33 2009eb</t>
  </si>
  <si>
    <t>https://ebookcentral.proquest.com/lib/cam/detail.action?docID=515625</t>
  </si>
  <si>
    <t>Say We Are Nations : Documents of Politics and Protest in Indigenous America Since 1887</t>
  </si>
  <si>
    <t>E93 .S29 2015</t>
  </si>
  <si>
    <t>https://ebookcentral.proquest.com/lib/cam/detail.action?docID=4322248</t>
  </si>
  <si>
    <t>Never Look Back : The Jewish Refugee Children in Great Britain, 1938-1945</t>
  </si>
  <si>
    <t>DS135.E5 -- B27 2012eb</t>
  </si>
  <si>
    <t>https://ebookcentral.proquest.com/lib/cam/detail.action?docID=3119338</t>
  </si>
  <si>
    <t>American Studies Encounters the Middle East</t>
  </si>
  <si>
    <t>303.48/273056</t>
  </si>
  <si>
    <t>DS63.2.U5.A447 2016eb</t>
  </si>
  <si>
    <t>https://ebookcentral.proquest.com/lib/cam/detail.action?docID=4525838</t>
  </si>
  <si>
    <t>Resurrection from the Underground : Feodor Dostoevsky</t>
  </si>
  <si>
    <t>891.73/3</t>
  </si>
  <si>
    <t>PG3328</t>
  </si>
  <si>
    <t>https://ebookcentral.proquest.com/lib/cam/detail.action?docID=3338236</t>
  </si>
  <si>
    <t>Doubling and Duplicating in the Book of Genesis : Literary and Stylistic Approaches to the Text</t>
  </si>
  <si>
    <t>222/.11066</t>
  </si>
  <si>
    <t>BS1235.52.D683 2016</t>
  </si>
  <si>
    <t>https://ebookcentral.proquest.com/lib/cam/detail.action?docID=4772165</t>
  </si>
  <si>
    <t>Changing Chinese Masculinities : From Imperial Pillars of State to Global Real Men</t>
  </si>
  <si>
    <t>HQ1090.7.C6.C436 2016</t>
  </si>
  <si>
    <t>https://ebookcentral.proquest.com/lib/cam/detail.action?docID=4592525</t>
  </si>
  <si>
    <t>Legalizing LGBT Families : How the Law Shapes Parenthood</t>
  </si>
  <si>
    <t>306.84/80973</t>
  </si>
  <si>
    <t>HQ1034.U5 -- .B386 2015eb</t>
  </si>
  <si>
    <t>https://ebookcentral.proquest.com/lib/cam/detail.action?docID=4044665</t>
  </si>
  <si>
    <t>Ante Bellum Houses of the Bluegrass : The Development of Residential Architecture in Fayette County, Kentucky</t>
  </si>
  <si>
    <t>NA7235.K4.L28 1961eb</t>
  </si>
  <si>
    <t>https://ebookcentral.proquest.com/lib/cam/detail.action?docID=1915921</t>
  </si>
  <si>
    <t>Land Fever : Dispossession and the Frontier Myth</t>
  </si>
  <si>
    <t>977.5/04/0924 B</t>
  </si>
  <si>
    <t>F586.M78 -- .M37 1986eb</t>
  </si>
  <si>
    <t>https://ebookcentral.proquest.com/lib/cam/detail.action?docID=1915038</t>
  </si>
  <si>
    <t>Mimetic Politics : Dyadic Patterns in Global Politics</t>
  </si>
  <si>
    <t>JA86</t>
  </si>
  <si>
    <t>https://ebookcentral.proquest.com/lib/cam/detail.action?docID=3338378</t>
  </si>
  <si>
    <t>The Anarchist Roots of Geography : Toward Spatial Emancipation</t>
  </si>
  <si>
    <t>GF50 -- .S675 2016eb</t>
  </si>
  <si>
    <t>https://ebookcentral.proquest.com/lib/cam/detail.action?docID=4525984</t>
  </si>
  <si>
    <t>Physics of Blackness : Beyond the Middle Passage Epistemology</t>
  </si>
  <si>
    <t>HT1581 -- .W693 2015eb</t>
  </si>
  <si>
    <t>https://ebookcentral.proquest.com/lib/cam/detail.action?docID=1977409</t>
  </si>
  <si>
    <t>Ritual Murder in Russia, Eastern Europe, and Beyond : New Histories of an Old Accusation</t>
  </si>
  <si>
    <t>BM585.2.R58 2017</t>
  </si>
  <si>
    <t>https://ebookcentral.proquest.com/lib/cam/detail.action?docID=4894933</t>
  </si>
  <si>
    <t>Reconfiguring Myth and Narrative in Contemporary Opera : Osvaldo Golijov, Kaija Saariaho, John Adams, and Tan Dun</t>
  </si>
  <si>
    <t>782.109/05</t>
  </si>
  <si>
    <t>MT95 -- .E84 2015eb</t>
  </si>
  <si>
    <t>https://ebookcentral.proquest.com/lib/cam/detail.action?docID=4004134</t>
  </si>
  <si>
    <t>Civil–Military Relationships in Developing Countries</t>
  </si>
  <si>
    <t>JF195.C5 -- C553 2014eb</t>
  </si>
  <si>
    <t>https://ebookcentral.proquest.com/lib/cam/detail.action?docID=1582810</t>
  </si>
  <si>
    <t>Congress and Civil-Military Relations</t>
  </si>
  <si>
    <t>322/.50973</t>
  </si>
  <si>
    <t>JK330 -- .C66 2015eb</t>
  </si>
  <si>
    <t>https://ebookcentral.proquest.com/lib/cam/detail.action?docID=1983128</t>
  </si>
  <si>
    <t>Karl Marx and the Future of the Human</t>
  </si>
  <si>
    <t>HX39.5.S55</t>
  </si>
  <si>
    <t>https://ebookcentral.proquest.com/lib/cam/detail.action?docID=1331630</t>
  </si>
  <si>
    <t>The Practical Prophet : Bishop Ronald O. Hall of Hong Kong and His Legacies</t>
  </si>
  <si>
    <t>BX5009 -- .C436 2015eb</t>
  </si>
  <si>
    <t>https://ebookcentral.proquest.com/lib/cam/detail.action?docID=4509400</t>
  </si>
  <si>
    <t>Tunisian Revolutions : Reflections on Seas, Coasts, and Interiors</t>
  </si>
  <si>
    <t>DT264.46 -- .C536 2014eb</t>
  </si>
  <si>
    <t>https://ebookcentral.proquest.com/lib/cam/detail.action?docID=1997081</t>
  </si>
  <si>
    <t>The Theology of Marriage : Personalism, Doctrine and Canon Law</t>
  </si>
  <si>
    <t>234/.165</t>
  </si>
  <si>
    <t>BX2250</t>
  </si>
  <si>
    <t>https://ebookcentral.proquest.com/lib/cam/detail.action?docID=3135191</t>
  </si>
  <si>
    <t>Plain Pottery Traditions of the Eastern Mediterranean and near East : Production, Use, and Social Significance</t>
  </si>
  <si>
    <t>Engineering; Engineering: Chemical; Fine Arts</t>
  </si>
  <si>
    <t>666/.393</t>
  </si>
  <si>
    <t>NK3803</t>
  </si>
  <si>
    <t>https://ebookcentral.proquest.com/lib/cam/detail.action?docID=2054641</t>
  </si>
  <si>
    <t>The Great Refusal : Herbert Marcuse and Contemporary Social Movements</t>
  </si>
  <si>
    <t>https://ebookcentral.proquest.com/lib/cam/detail.action?docID=4773736</t>
  </si>
  <si>
    <t>The Invention of Robert Bresson : The Auteur and His Market</t>
  </si>
  <si>
    <t>PN1998.3.B755.B876 2017</t>
  </si>
  <si>
    <t>https://ebookcentral.proquest.com/lib/cam/detail.action?docID=4773512</t>
  </si>
  <si>
    <t>Drama and Ethos : Natural-Law Ethics in Spanish Golden Age Theater</t>
  </si>
  <si>
    <t>PQ6106.F5 1975eb</t>
  </si>
  <si>
    <t>https://ebookcentral.proquest.com/lib/cam/detail.action?docID=1915797</t>
  </si>
  <si>
    <t>A Drama of the Southwest : The Critical Edition of a Forgotten Play</t>
  </si>
  <si>
    <t>812/.52</t>
  </si>
  <si>
    <t>PS3539.O478D73 2016</t>
  </si>
  <si>
    <t>https://ebookcentral.proquest.com/lib/cam/detail.action?docID=4392104</t>
  </si>
  <si>
    <t>Building a Healthy Economy from the Bottom Up : Harnessing Real-World Experience for Transformative Change</t>
  </si>
  <si>
    <t>HN90.C6F574 2016</t>
  </si>
  <si>
    <t>https://ebookcentral.proquest.com/lib/cam/detail.action?docID=4503981</t>
  </si>
  <si>
    <t>Vengeance in Reverse : The Tangled Loops of Violence, Myth, and Madness</t>
  </si>
  <si>
    <t>Psychology; Religion</t>
  </si>
  <si>
    <t>220.8/3036</t>
  </si>
  <si>
    <t>BF637</t>
  </si>
  <si>
    <t>https://ebookcentral.proquest.com/lib/cam/detail.action?docID=4843693</t>
  </si>
  <si>
    <t>Pasolini : The Sacred Flesh</t>
  </si>
  <si>
    <t>https://ebookcentral.proquest.com/lib/cam/detail.action?docID=4671113</t>
  </si>
  <si>
    <t>Messy Urbanism : Understanding the “Other” Cities of Asia</t>
  </si>
  <si>
    <t>HT384.A78.M47 2016eb</t>
  </si>
  <si>
    <t>https://ebookcentral.proquest.com/lib/cam/detail.action?docID=4592530</t>
  </si>
  <si>
    <t>Mapping the Cold War : Cartography and the Framing of America's International Power</t>
  </si>
  <si>
    <t>327.73009/045</t>
  </si>
  <si>
    <t>JC319 -- .B376 2015eb</t>
  </si>
  <si>
    <t>https://ebookcentral.proquest.com/lib/cam/detail.action?docID=4322234</t>
  </si>
  <si>
    <t>Reform : A Memoir</t>
  </si>
  <si>
    <t>DU420.24.T74 .P384 2013</t>
  </si>
  <si>
    <t>https://ebookcentral.proquest.com/lib/cam/detail.action?docID=1699915</t>
  </si>
  <si>
    <t>Gertrude Stein and the Essence of What Happens</t>
  </si>
  <si>
    <t>818/.5209</t>
  </si>
  <si>
    <t>PS3537.T323 -- Z96 2005eb</t>
  </si>
  <si>
    <t>https://ebookcentral.proquest.com/lib/cam/detail.action?docID=3040042</t>
  </si>
  <si>
    <t>The Social Imperative : Race, Close Reading, and Contemporary Literary Criticism</t>
  </si>
  <si>
    <t>813.009/355</t>
  </si>
  <si>
    <t>https://ebookcentral.proquest.com/lib/cam/detail.action?docID=4414760</t>
  </si>
  <si>
    <t>The Intelligence of a Machine</t>
  </si>
  <si>
    <t>PN1994 -- .E65513 2014eb</t>
  </si>
  <si>
    <t>https://ebookcentral.proquest.com/lib/cam/detail.action?docID=4391646</t>
  </si>
  <si>
    <t>The Cross-Border Connection : Immigrants, Emigrants, and Their Homelands</t>
  </si>
  <si>
    <t>305.9/0691</t>
  </si>
  <si>
    <t>JV6033</t>
  </si>
  <si>
    <t>https://ebookcentral.proquest.com/lib/cam/detail.action?docID=3301555</t>
  </si>
  <si>
    <t>Masquerade and Social Justice in Contemporary Latin American Fiction</t>
  </si>
  <si>
    <t>863/.70998</t>
  </si>
  <si>
    <t>PQ7082.N7.W43 2017</t>
  </si>
  <si>
    <t>https://ebookcentral.proquest.com/lib/cam/detail.action?docID=4744158</t>
  </si>
  <si>
    <t>The Calvinesque : An Aesthetics of Violence in English Literature after the Reformation</t>
  </si>
  <si>
    <t>PR145 -- .R53 2014eb</t>
  </si>
  <si>
    <t>https://ebookcentral.proquest.com/lib/cam/detail.action?docID=1766388</t>
  </si>
  <si>
    <t>Staging Memory : Myth, Symbolism and Identity in Postcolonial Italy and Libya</t>
  </si>
  <si>
    <t>DG577.5 -- .D45 2015eb</t>
  </si>
  <si>
    <t>https://ebookcentral.proquest.com/lib/cam/detail.action?docID=3564944</t>
  </si>
  <si>
    <t>Weapons of Mass Psychological Destruction and the People Who Use Them</t>
  </si>
  <si>
    <t>HV6431.W4143 2015</t>
  </si>
  <si>
    <t>https://ebookcentral.proquest.com/lib/cam/detail.action?docID=4107626</t>
  </si>
  <si>
    <t>Slavery in the Circuit of Sugar, Second Edition : Martinique and the World-Economy, 1830-1848</t>
  </si>
  <si>
    <t>HT1108.M3T66 2016</t>
  </si>
  <si>
    <t>https://ebookcentral.proquest.com/lib/cam/detail.action?docID=4420836</t>
  </si>
  <si>
    <t>Remembering the Modoc War : Redemptive Violence and the Making of American Innocence</t>
  </si>
  <si>
    <t>979.4004/974122</t>
  </si>
  <si>
    <t>E83.87 -- .C67 2014eb</t>
  </si>
  <si>
    <t>https://ebookcentral.proquest.com/lib/cam/detail.action?docID=1784520</t>
  </si>
  <si>
    <t>Looking Jewish : Visual Culture and Modern Diaspora</t>
  </si>
  <si>
    <t>704.03/924</t>
  </si>
  <si>
    <t>N7415 -- .Z46 2015eb</t>
  </si>
  <si>
    <t>https://ebookcentral.proquest.com/lib/cam/detail.action?docID=2040252</t>
  </si>
  <si>
    <t>Colonialism and the Jews</t>
  </si>
  <si>
    <t>JV185.C625 2017</t>
  </si>
  <si>
    <t>https://ebookcentral.proquest.com/lib/cam/detail.action?docID=4804428</t>
  </si>
  <si>
    <t>Misfit Forms : Paths Not Taken by the British Novel</t>
  </si>
  <si>
    <t>823/.509</t>
  </si>
  <si>
    <t>PR851 -- .N36 2015eb</t>
  </si>
  <si>
    <t>https://ebookcentral.proquest.com/lib/cam/detail.action?docID=3239950</t>
  </si>
  <si>
    <t>New Atheism: Critical Perspectives and Contemporary Debates</t>
  </si>
  <si>
    <t>https://ebookcentral.proquest.com/lib/cam/detail.action?docID=4873432</t>
  </si>
  <si>
    <t>Transferential Poetics, from Poe to Warhol</t>
  </si>
  <si>
    <t>PN1035 -- .F73 2015eb</t>
  </si>
  <si>
    <t>https://ebookcentral.proquest.com/lib/cam/detail.action?docID=3239939</t>
  </si>
  <si>
    <t>Saint John's Abbey Church : Marcel Breuer and the Creation of a Modern Sacred Space</t>
  </si>
  <si>
    <t>726.509776/47</t>
  </si>
  <si>
    <t>NA5235.C65 -- .Y68 2014eb</t>
  </si>
  <si>
    <t>https://ebookcentral.proquest.com/lib/cam/detail.action?docID=1911502</t>
  </si>
  <si>
    <t>Impossible Modernism : T. S. Eliot, Walter Benjamin, and the Critique of Historical Reason</t>
  </si>
  <si>
    <t>PS3509</t>
  </si>
  <si>
    <t>https://ebookcentral.proquest.com/lib/cam/detail.action?docID=4648831</t>
  </si>
  <si>
    <t>Sourcebook for Research in Music, Third Edition</t>
  </si>
  <si>
    <t>ML113 .S46 2015</t>
  </si>
  <si>
    <t>https://ebookcentral.proquest.com/lib/cam/detail.action?docID=2089417</t>
  </si>
  <si>
    <t>Shame : A Brief History</t>
  </si>
  <si>
    <t>152.4/409</t>
  </si>
  <si>
    <t>BF575</t>
  </si>
  <si>
    <t>https://ebookcentral.proquest.com/lib/cam/detail.action?docID=5089100</t>
  </si>
  <si>
    <t>Feminist Rereadings of Rabbinic Literature</t>
  </si>
  <si>
    <t>BM496</t>
  </si>
  <si>
    <t>https://ebookcentral.proquest.com/lib/cam/detail.action?docID=1882410</t>
  </si>
  <si>
    <t>Higher Education, Meritocracy and Inequality in China</t>
  </si>
  <si>
    <t>https://ebookcentral.proquest.com/lib/cam/detail.action?docID=4714237</t>
  </si>
  <si>
    <t>Foucault's Critical Ethics</t>
  </si>
  <si>
    <t>B2430.F724 -- .L963 2016eb</t>
  </si>
  <si>
    <t>https://ebookcentral.proquest.com/lib/cam/detail.action?docID=4603828</t>
  </si>
  <si>
    <t>Jazzing : New York City's Unseen Scene</t>
  </si>
  <si>
    <t>781.6509747/1</t>
  </si>
  <si>
    <t>ML3508</t>
  </si>
  <si>
    <t>https://ebookcentral.proquest.com/lib/cam/detail.action?docID=4443532</t>
  </si>
  <si>
    <t>Out for Blood : Essays on Menstruation and Resistance</t>
  </si>
  <si>
    <t>Social Science; Science: Anatomy/Physiology; Science</t>
  </si>
  <si>
    <t>612.6/62</t>
  </si>
  <si>
    <t>GN484.38.F34 2016</t>
  </si>
  <si>
    <t>https://ebookcentral.proquest.com/lib/cam/detail.action?docID=4710103</t>
  </si>
  <si>
    <t>Social Structure and Voting in the United States</t>
  </si>
  <si>
    <t>https://ebookcentral.proquest.com/lib/cam/detail.action?docID=4443089</t>
  </si>
  <si>
    <t>God's Voice from the Void : Old and New Studies in Bratslav Hasidism</t>
  </si>
  <si>
    <t>296.8/332</t>
  </si>
  <si>
    <t>BM198.52 -- .G63 2002eb</t>
  </si>
  <si>
    <t>https://ebookcentral.proquest.com/lib/cam/detail.action?docID=3407994</t>
  </si>
  <si>
    <t>Hopeless but Optimistic : Journeying through America's Endless War in Afghanistan</t>
  </si>
  <si>
    <t>DS371.412.W57 2016eb</t>
  </si>
  <si>
    <t>https://ebookcentral.proquest.com/lib/cam/detail.action?docID=4612544</t>
  </si>
  <si>
    <t>Spatial Econometrics : From Cross-Sectional Data to Spatial Panels</t>
  </si>
  <si>
    <t>https://ebookcentral.proquest.com/lib/cam/detail.action?docID=1466460</t>
  </si>
  <si>
    <t>Lillian de Lissa, Women Teachers and Teacher Education in the Twentieth Century : A Transnational History</t>
  </si>
  <si>
    <t>LB1775.W458 2016</t>
  </si>
  <si>
    <t>https://ebookcentral.proquest.com/lib/cam/detail.action?docID=4676808</t>
  </si>
  <si>
    <t>The Empty Seashell : Witchcraft and Doubt on an Indonesian Island</t>
  </si>
  <si>
    <t>133.4/30959856</t>
  </si>
  <si>
    <t>BF1584</t>
  </si>
  <si>
    <t>https://ebookcentral.proquest.com/lib/cam/detail.action?docID=3138693</t>
  </si>
  <si>
    <t>Failed States and Fragile Societies : A New World Disorder?</t>
  </si>
  <si>
    <t>JC328.7.F35 2014eb</t>
  </si>
  <si>
    <t>https://ebookcentral.proquest.com/lib/cam/detail.action?docID=1743621</t>
  </si>
  <si>
    <t>Jamaat-E-Islami Women in Pakistan : Vanguard of a New Modernity?</t>
  </si>
  <si>
    <t>HQ1170.J355 2013eb</t>
  </si>
  <si>
    <t>https://ebookcentral.proquest.com/lib/cam/detail.action?docID=3410158</t>
  </si>
  <si>
    <t>The Challenge of Nation-Building : Implementing Effective Innovation in the U.S. Army from World War II to the Iraq War</t>
  </si>
  <si>
    <t>JZ6300 -- .P38 2014eb</t>
  </si>
  <si>
    <t>https://ebookcentral.proquest.com/lib/cam/detail.action?docID=1798293</t>
  </si>
  <si>
    <t>«Nanook of the North» From 1922 to Today : The Famous Arctic Documentary and Its Afterlife</t>
  </si>
  <si>
    <t>PN1997.N327 -- .S537 2016eb</t>
  </si>
  <si>
    <t>https://ebookcentral.proquest.com/lib/cam/detail.action?docID=4526645</t>
  </si>
  <si>
    <t>Christian Encounters with Chinese Culture : Essays on Anglican and Episcopal History in China</t>
  </si>
  <si>
    <t>BX5005</t>
  </si>
  <si>
    <t>https://ebookcentral.proquest.com/lib/cam/detail.action?docID=2033820</t>
  </si>
  <si>
    <t>Islam in the Balance : Ideational Threats in Arab Politics</t>
  </si>
  <si>
    <t>320.55/70956</t>
  </si>
  <si>
    <t>BP173</t>
  </si>
  <si>
    <t>https://ebookcentral.proquest.com/lib/cam/detail.action?docID=1713945</t>
  </si>
  <si>
    <t>Atlantic Creoles in the Age of Revolutions</t>
  </si>
  <si>
    <t>F2191</t>
  </si>
  <si>
    <t>https://ebookcentral.proquest.com/lib/cam/detail.action?docID=3300826</t>
  </si>
  <si>
    <t>Pharma M&amp;A versus alliances and its underlying value drivers : Are M&amp;A or alliances the right therapy for an ailing pharmaceutical industry?- A capital market perspective</t>
  </si>
  <si>
    <t>338.4/76151</t>
  </si>
  <si>
    <t>HD9665.5 -- .S366 2015eb</t>
  </si>
  <si>
    <t>https://ebookcentral.proquest.com/lib/cam/detail.action?docID=4012326</t>
  </si>
  <si>
    <t>Sometimes Always True : Undogmatic Pluralism in Politics, Metaphysics, and Epistemology</t>
  </si>
  <si>
    <t>BD394 -- .B377 2015eb</t>
  </si>
  <si>
    <t>https://ebookcentral.proquest.com/lib/cam/detail.action?docID=3239944</t>
  </si>
  <si>
    <t>Confucianism, a Habit of the Heart : Bellah, Civil Religion, and East Asia</t>
  </si>
  <si>
    <t>299.5/12</t>
  </si>
  <si>
    <t>BL1855.C685 2015</t>
  </si>
  <si>
    <t>https://ebookcentral.proquest.com/lib/cam/detail.action?docID=4396655</t>
  </si>
  <si>
    <t>Mortuary Landscapes of the Classic Maya : Rituals of Body and Soul</t>
  </si>
  <si>
    <t>972/.601</t>
  </si>
  <si>
    <t>F1435.3.M6.S34 2015</t>
  </si>
  <si>
    <t>https://ebookcentral.proquest.com/lib/cam/detail.action?docID=4401770</t>
  </si>
  <si>
    <t>Flower of the Desert : Giacomo Leopardi's Poetic Ontology</t>
  </si>
  <si>
    <t>851/.7</t>
  </si>
  <si>
    <t>PQ4710 -- .N447 2015eb</t>
  </si>
  <si>
    <t>https://ebookcentral.proquest.com/lib/cam/detail.action?docID=4396593</t>
  </si>
  <si>
    <t>Wedlocked : The Perils of Marriage Equality</t>
  </si>
  <si>
    <t>HQ1001.F73 2015</t>
  </si>
  <si>
    <t>https://ebookcentral.proquest.com/lib/cam/detail.action?docID=4004176</t>
  </si>
  <si>
    <t>Regulating Prostitution in China : Gender and Local Statebuilding, 1900-1937</t>
  </si>
  <si>
    <t>363.4/40951</t>
  </si>
  <si>
    <t>HQ250</t>
  </si>
  <si>
    <t>https://ebookcentral.proquest.com/lib/cam/detail.action?docID=1650362</t>
  </si>
  <si>
    <t>Introduction to Non-Marxism</t>
  </si>
  <si>
    <t>HX45 -- .L3713 2015eb</t>
  </si>
  <si>
    <t>https://ebookcentral.proquest.com/lib/cam/detail.action?docID=4460111</t>
  </si>
  <si>
    <t>Diplomacy in Black and White : John Adams, Toussaint Louverture, and Their Atlantic World Alliance</t>
  </si>
  <si>
    <t>327.7307294/09034</t>
  </si>
  <si>
    <t>E183.8.H2 -- J65 2014eb</t>
  </si>
  <si>
    <t>https://ebookcentral.proquest.com/lib/cam/detail.action?docID=1561375</t>
  </si>
  <si>
    <t>Calderón : The Secular Plays</t>
  </si>
  <si>
    <t>PQ6312.T43 1982eb</t>
  </si>
  <si>
    <t>https://ebookcentral.proquest.com/lib/cam/detail.action?docID=1915395</t>
  </si>
  <si>
    <t>Drawn Three Ways : Memoir of a Ministry, a Profession, and a Marriage</t>
  </si>
  <si>
    <t>BX5199.H367.H378 2016</t>
  </si>
  <si>
    <t>https://ebookcentral.proquest.com/lib/cam/detail.action?docID=4859113</t>
  </si>
  <si>
    <t>English Exposed : Common Mistakes Made by Chinese Speakers</t>
  </si>
  <si>
    <t>PE1460.H378 2017</t>
  </si>
  <si>
    <t>https://ebookcentral.proquest.com/lib/cam/detail.action?docID=4913817</t>
  </si>
  <si>
    <t>Posthuman Blackness and the Black Female Imagination</t>
  </si>
  <si>
    <t>PS153.N5.L555 2017</t>
  </si>
  <si>
    <t>https://ebookcentral.proquest.com/lib/cam/detail.action?docID=5049564</t>
  </si>
  <si>
    <t>Love and Narrative Form in Toni Morrison's Later Novels</t>
  </si>
  <si>
    <t>PS3563.O8749.W938 2017</t>
  </si>
  <si>
    <t>https://ebookcentral.proquest.com/lib/cam/detail.action?docID=4833609</t>
  </si>
  <si>
    <t>Toni Morrison and the Queer Pleasure of Ghosts</t>
  </si>
  <si>
    <t>PS3563.O8749 -- Z55 2014eb</t>
  </si>
  <si>
    <t>https://ebookcentral.proquest.com/lib/cam/detail.action?docID=3408965</t>
  </si>
  <si>
    <t>A Poet at the Fountain : Essays on the Narrative Verse of Guillaume de Machaut</t>
  </si>
  <si>
    <t>PQ1483.G5.C34 082 1</t>
  </si>
  <si>
    <t>https://ebookcentral.proquest.com/lib/cam/detail.action?docID=1915745</t>
  </si>
  <si>
    <t>Coming of Age : Constructing and Controlling Youth in Munich, 1942-1973</t>
  </si>
  <si>
    <t>364.360943/3640904</t>
  </si>
  <si>
    <t>HV9160.M8 K35 2016</t>
  </si>
  <si>
    <t>https://ebookcentral.proquest.com/lib/cam/detail.action?docID=4197988</t>
  </si>
  <si>
    <t>The Anthropology of Conservation NGOs : Rethinking the Boundaries</t>
  </si>
  <si>
    <t>Social Science; Environmental Studies; Economics</t>
  </si>
  <si>
    <t>https://ebookcentral.proquest.com/lib/cam/detail.action?docID=4987986</t>
  </si>
  <si>
    <t>The Correspondence of Pope Julius I</t>
  </si>
  <si>
    <t>BX1036</t>
  </si>
  <si>
    <t>https://ebookcentral.proquest.com/lib/cam/detail.action?docID=3135189</t>
  </si>
  <si>
    <t>Sex Radical Cinema</t>
  </si>
  <si>
    <t>791.43/6538</t>
  </si>
  <si>
    <t>PN1995.9.S45S547</t>
  </si>
  <si>
    <t>https://ebookcentral.proquest.com/lib/cam/detail.action?docID=4087726</t>
  </si>
  <si>
    <t>Neurodiversity in the Classroom : Strength-Based Strategies to Help Students with Special Needs Succeed in School and Life</t>
  </si>
  <si>
    <t>Association for Supervision &amp; Curriculum Development</t>
  </si>
  <si>
    <t>LC4031 -- .A68 2012eb</t>
  </si>
  <si>
    <t>https://ebookcentral.proquest.com/lib/cam/detail.action?docID=1106833</t>
  </si>
  <si>
    <t>Aquinas on Virtue : A Causal Reading</t>
  </si>
  <si>
    <t>179/.9092</t>
  </si>
  <si>
    <t>B765.T54.A98 2017</t>
  </si>
  <si>
    <t>https://ebookcentral.proquest.com/lib/cam/detail.action?docID=4983584</t>
  </si>
  <si>
    <t>In the Shadow of Zion : Promised Lands Before Israel</t>
  </si>
  <si>
    <t>909/.049240821</t>
  </si>
  <si>
    <t>DS134 -- .R686 2014eb</t>
  </si>
  <si>
    <t>https://ebookcentral.proquest.com/lib/cam/detail.action?docID=1831365</t>
  </si>
  <si>
    <t>Islamophobia and Securitization : Religion, Ethnicity and the Female Voice</t>
  </si>
  <si>
    <t>https://ebookcentral.proquest.com/lib/cam/detail.action?docID=4721350</t>
  </si>
  <si>
    <t>The Rise and Fall of Urban Economies : Lessons from San Francisco and Los Angeles</t>
  </si>
  <si>
    <t>330.9494/61</t>
  </si>
  <si>
    <t>HC107</t>
  </si>
  <si>
    <t>https://ebookcentral.proquest.com/lib/cam/detail.action?docID=3568963</t>
  </si>
  <si>
    <t>Speaking the Language of the Night : Aspects of the Gothic in Selected Contemporary Novels</t>
  </si>
  <si>
    <t>PN3435 -- .R33 2014eb</t>
  </si>
  <si>
    <t>https://ebookcentral.proquest.com/lib/cam/detail.action?docID=1666182</t>
  </si>
  <si>
    <t>Power of Huacas : Change and Resistance in the Andean World of Colonial Peru</t>
  </si>
  <si>
    <t>299.811/44</t>
  </si>
  <si>
    <t>F2230.1.R3 -- B76 2014eb</t>
  </si>
  <si>
    <t>https://ebookcentral.proquest.com/lib/cam/detail.action?docID=3443742</t>
  </si>
  <si>
    <t>Ridiculous Critics : Augustan Mockery of Critical Judgment</t>
  </si>
  <si>
    <t>PR73 -- .R53 2014eb</t>
  </si>
  <si>
    <t>https://ebookcentral.proquest.com/lib/cam/detail.action?docID=1790879</t>
  </si>
  <si>
    <t>The Sociological Souls of Black Folk : Essays by W. E. B. Du Bois</t>
  </si>
  <si>
    <t>E185.6 -- .D796 2011eb</t>
  </si>
  <si>
    <t>https://ebookcentral.proquest.com/lib/cam/detail.action?docID=1495892</t>
  </si>
  <si>
    <t>Concerning the Spiritual--And the Concrete--in Kandinsky's Art : And the Concrete - In Kandinsky's Art</t>
  </si>
  <si>
    <t>ND699</t>
  </si>
  <si>
    <t>https://ebookcentral.proquest.com/lib/cam/detail.action?docID=1699489</t>
  </si>
  <si>
    <t>Democratizing Texas Politics : Race, Identity, and Mexican American Empowerment, 1945-2002</t>
  </si>
  <si>
    <t>976.4/063</t>
  </si>
  <si>
    <t>F395.M5 -- M367 2014eb</t>
  </si>
  <si>
    <t>https://ebookcentral.proquest.com/lib/cam/detail.action?docID=3443713</t>
  </si>
  <si>
    <t>The Hymns on Faith</t>
  </si>
  <si>
    <t>https://ebookcentral.proquest.com/lib/cam/detail.action?docID=3425916</t>
  </si>
  <si>
    <t>Queer Bangkok : 21st Century Markets, Media, and Rights</t>
  </si>
  <si>
    <t>HQ73.3.T52 -- B36 2011eb</t>
  </si>
  <si>
    <t>https://ebookcentral.proquest.com/lib/cam/detail.action?docID=863883</t>
  </si>
  <si>
    <t>Colored Travelers : Mobility and the Fight for Citizenship Before the Civil War</t>
  </si>
  <si>
    <t>E185.18.P75 2016</t>
  </si>
  <si>
    <t>https://ebookcentral.proquest.com/lib/cam/detail.action?docID=4525841</t>
  </si>
  <si>
    <t>Beyond the Nasca Lines : Ancient Life at la Tiza in the Peruvian Desert</t>
  </si>
  <si>
    <t>F3430.1.H83.C665 2016</t>
  </si>
  <si>
    <t>https://ebookcentral.proquest.com/lib/cam/detail.action?docID=4696557</t>
  </si>
  <si>
    <t>A Muslim Suicide</t>
  </si>
  <si>
    <t>892.7/36</t>
  </si>
  <si>
    <t>PJ7832.I445 -- H3313 2011eb</t>
  </si>
  <si>
    <t>https://ebookcentral.proquest.com/lib/cam/detail.action?docID=3410071</t>
  </si>
  <si>
    <t>Poetic Force : Poetry after Kant</t>
  </si>
  <si>
    <t>PN1261</t>
  </si>
  <si>
    <t>https://ebookcentral.proquest.com/lib/cam/detail.action?docID=1770083</t>
  </si>
  <si>
    <t>Contemporary Plays by African American Women : Ten Complete Works</t>
  </si>
  <si>
    <t>812/</t>
  </si>
  <si>
    <t>PS628</t>
  </si>
  <si>
    <t>https://ebookcentral.proquest.com/lib/cam/detail.action?docID=4306050</t>
  </si>
  <si>
    <t>Imagine the Sound : Experimental African American Literature after Civil Rights</t>
  </si>
  <si>
    <t>PS153.N5 -- .M2655 2015eb</t>
  </si>
  <si>
    <t>https://ebookcentral.proquest.com/lib/cam/detail.action?docID=2006056</t>
  </si>
  <si>
    <t>African American Writing : A Literary Approach</t>
  </si>
  <si>
    <t>https://ebookcentral.proquest.com/lib/cam/detail.action?docID=4506150</t>
  </si>
  <si>
    <t>Speculative Formalism : Literature, Theory, and the Critical Present</t>
  </si>
  <si>
    <t>PN98</t>
  </si>
  <si>
    <t>https://ebookcentral.proquest.com/lib/cam/detail.action?docID=4791171</t>
  </si>
  <si>
    <t>Disorderly Families : Infamous Letters from the Bastille Archives</t>
  </si>
  <si>
    <t>CD971.F374 2016</t>
  </si>
  <si>
    <t>https://ebookcentral.proquest.com/lib/cam/detail.action?docID=4525988</t>
  </si>
  <si>
    <t>A New Deal for Bronzeville : Housing, Employment, and Civil Rights in Black Chicago, 1935-1955</t>
  </si>
  <si>
    <t>https://ebookcentral.proquest.com/lib/cam/detail.action?docID=4000284</t>
  </si>
  <si>
    <t>Cognitive-Behavioral Therapy for Adult Asperger Syndrome</t>
  </si>
  <si>
    <t>Psychology; Medicine</t>
  </si>
  <si>
    <t>RC553.A88G38</t>
  </si>
  <si>
    <t>https://ebookcentral.proquest.com/lib/cam/detail.action?docID=405997</t>
  </si>
  <si>
    <t>Diversity and Super-Diversity : Sociocultural Linguistic Perspectives</t>
  </si>
  <si>
    <t>P40.G467 2017</t>
  </si>
  <si>
    <t>https://ebookcentral.proquest.com/lib/cam/detail.action?docID=4811067</t>
  </si>
  <si>
    <t>To Save the Children of Korea : The Cold War Origins of International Adoption</t>
  </si>
  <si>
    <t>https://ebookcentral.proquest.com/lib/cam/detail.action?docID=3568943</t>
  </si>
  <si>
    <t>Bad Clowns</t>
  </si>
  <si>
    <t>791.3/3</t>
  </si>
  <si>
    <t>GV1828.R3 2016</t>
  </si>
  <si>
    <t>https://ebookcentral.proquest.com/lib/cam/detail.action?docID=4406010</t>
  </si>
  <si>
    <t>Political Women : Language and Leadership</t>
  </si>
  <si>
    <t>HQ1236.5.U6 -- P653 2013eb</t>
  </si>
  <si>
    <t>https://ebookcentral.proquest.com/lib/cam/detail.action?docID=1416394</t>
  </si>
  <si>
    <t>Wolfenden's Witnesses : Homosexuality in Postwar Britain</t>
  </si>
  <si>
    <t>https://ebookcentral.proquest.com/lib/cam/detail.action?docID=4720707</t>
  </si>
  <si>
    <t>Engaging the World : Thinking after Irigaray</t>
  </si>
  <si>
    <t>B2430.I74E54 2015</t>
  </si>
  <si>
    <t>https://ebookcentral.proquest.com/lib/cam/detail.action?docID=4528787</t>
  </si>
  <si>
    <t>Philosophy, History, and Tyranny : Reexamining the Debate Between Leo Strauss and Alexandre Kojeve</t>
  </si>
  <si>
    <t>B945.S84.P455 2016</t>
  </si>
  <si>
    <t>https://ebookcentral.proquest.com/lib/cam/detail.action?docID=4747181</t>
  </si>
  <si>
    <t>Picture Freedom : Remaking Black Visuality in the Early Nineteenth Century</t>
  </si>
  <si>
    <t>305.896/073009034</t>
  </si>
  <si>
    <t>E185.18 -- .C633 2015eb</t>
  </si>
  <si>
    <t>https://ebookcentral.proquest.com/lib/cam/detail.action?docID=3564344</t>
  </si>
  <si>
    <t>Arab Fall : How the Muslim Brotherhood Won and Lost Egypt in 891 Days</t>
  </si>
  <si>
    <t>DT107.88.T94 2016</t>
  </si>
  <si>
    <t>https://ebookcentral.proquest.com/lib/cam/detail.action?docID=4711806</t>
  </si>
  <si>
    <t>Materializing Poverty : How the Poor Transform Their Lives</t>
  </si>
  <si>
    <t>HN219.S2 -- T39 2013eb</t>
  </si>
  <si>
    <t>https://ebookcentral.proquest.com/lib/cam/detail.action?docID=1471878</t>
  </si>
  <si>
    <t>Sense of Regard : Essays on Poetry and Race</t>
  </si>
  <si>
    <t>811.009/355</t>
  </si>
  <si>
    <t>PS310.R34 -- .S467 2015eb</t>
  </si>
  <si>
    <t>https://ebookcentral.proquest.com/lib/cam/detail.action?docID=1953207</t>
  </si>
  <si>
    <t>Cubans in Angola : South-South Cooperation and Transfer of Knowledge, 1976-1991</t>
  </si>
  <si>
    <t>DT1355</t>
  </si>
  <si>
    <t>https://ebookcentral.proquest.com/lib/cam/detail.action?docID=3445438</t>
  </si>
  <si>
    <t>Gertrude Stein and the Reinvention of Rhetoric</t>
  </si>
  <si>
    <t>https://ebookcentral.proquest.com/lib/cam/detail.action?docID=1822945</t>
  </si>
  <si>
    <t>Didactic Poetries</t>
  </si>
  <si>
    <t>PQ1185B435 2016</t>
  </si>
  <si>
    <t>https://ebookcentral.proquest.com/lib/cam/detail.action?docID=4734160</t>
  </si>
  <si>
    <t>Project and Program Management : A Competency-Based Approach, Third Edition</t>
  </si>
  <si>
    <t>HD69.P75 -- S684 2016eb</t>
  </si>
  <si>
    <t>https://ebookcentral.proquest.com/lib/cam/detail.action?docID=4516858</t>
  </si>
  <si>
    <t>William Faulkner : From Jefferson to the World</t>
  </si>
  <si>
    <t>PS3511.A86.W344 195</t>
  </si>
  <si>
    <t>https://ebookcentral.proquest.com/lib/cam/detail.action?docID=1915691</t>
  </si>
  <si>
    <t>A History of Britain : 1945 to Brexit</t>
  </si>
  <si>
    <t>DA592.B533 2017</t>
  </si>
  <si>
    <t>https://ebookcentral.proquest.com/lib/cam/detail.action?docID=5041706</t>
  </si>
  <si>
    <t>Fugitive Testimony : On the Visual Logic of Slave Narratives</t>
  </si>
  <si>
    <t>E444.N437 2017</t>
  </si>
  <si>
    <t>https://ebookcentral.proquest.com/lib/cam/detail.action?docID=4648085</t>
  </si>
  <si>
    <t>When Perfect Isn't Good Enough : Strategies for Coping with Perfectionism</t>
  </si>
  <si>
    <t>New Harbinger Publications</t>
  </si>
  <si>
    <t>BF698.35.P47 -- A58 2009eb</t>
  </si>
  <si>
    <t>https://ebookcentral.proquest.com/lib/cam/detail.action?docID=794943</t>
  </si>
  <si>
    <t>Dickens on the Move : Travels and Transformations</t>
  </si>
  <si>
    <t>PR4588 -- .C3589 2014eb</t>
  </si>
  <si>
    <t>https://ebookcentral.proquest.com/lib/cam/detail.action?docID=1952774</t>
  </si>
  <si>
    <t>Haptic Experience in the Writings of Georges Bataille, Maurice Blanchot and Michel Serres</t>
  </si>
  <si>
    <t>PQ307.T68 -- .L44 2014eb</t>
  </si>
  <si>
    <t>https://ebookcentral.proquest.com/lib/cam/detail.action?docID=1888981</t>
  </si>
  <si>
    <t>The Last Superpower Summits : Reagan, Gorbachev and Bush. Conversations that Ended the Cold War.</t>
  </si>
  <si>
    <t>E183.8.S65.L38 2016</t>
  </si>
  <si>
    <t>https://ebookcentral.proquest.com/lib/cam/detail.action?docID=4759537</t>
  </si>
  <si>
    <t>Diaspora and Identity in South African Fiction</t>
  </si>
  <si>
    <t>PR9362.2.J33 2016</t>
  </si>
  <si>
    <t>https://ebookcentral.proquest.com/lib/cam/detail.action?docID=4717543</t>
  </si>
  <si>
    <t>Being Brains : Making the Cerebral Subject</t>
  </si>
  <si>
    <t>BD450.V533 2017</t>
  </si>
  <si>
    <t>https://ebookcentral.proquest.com/lib/cam/detail.action?docID=4939453</t>
  </si>
  <si>
    <t>World Energy Outlook 2017 -</t>
  </si>
  <si>
    <t>Organisation for Economic Co-operation and Development</t>
  </si>
  <si>
    <t>https://ebookcentral.proquest.com/lib/cam/detail.action?docID=5160837</t>
  </si>
  <si>
    <t>Post-Communist Mafia State : The Case of Hungary</t>
  </si>
  <si>
    <t>DB958.3 -- .M349 2016eb</t>
  </si>
  <si>
    <t>https://ebookcentral.proquest.com/lib/cam/detail.action?docID=4443133</t>
  </si>
  <si>
    <t>Twenty-Five Sides of a Post-Communist Mafia State</t>
  </si>
  <si>
    <t>DB958.3.T846 2017</t>
  </si>
  <si>
    <t>https://ebookcentral.proquest.com/lib/cam/detail.action?docID=4832183</t>
  </si>
  <si>
    <t>The Good Child : Moral Development in a Chinese Preschool</t>
  </si>
  <si>
    <t>155.4/18250951132</t>
  </si>
  <si>
    <t>BF723.M54.X855 2017</t>
  </si>
  <si>
    <t>https://ebookcentral.proquest.com/lib/cam/detail.action?docID=4983512</t>
  </si>
  <si>
    <t>The Art and Imagination of Langston Hughes</t>
  </si>
  <si>
    <t>PS3515.U274 -- .M555 2006eb</t>
  </si>
  <si>
    <t>https://ebookcentral.proquest.com/lib/cam/detail.action?docID=1915409</t>
  </si>
  <si>
    <t>American Child Bride : A History of Minors and Marriage in the United States</t>
  </si>
  <si>
    <t>306.8/10973</t>
  </si>
  <si>
    <t>HQ535.S97 2016</t>
  </si>
  <si>
    <t>https://ebookcentral.proquest.com/lib/cam/detail.action?docID=4525809</t>
  </si>
  <si>
    <t>Behavioral Neurobiology of Depression and Its Treatment</t>
  </si>
  <si>
    <t>R-RZ</t>
  </si>
  <si>
    <t>https://ebookcentral.proquest.com/lib/cam/detail.action?docID=1697245</t>
  </si>
  <si>
    <t>Between Self and Society : Inner Worlds and Outer Limits in the British Psychological Novel</t>
  </si>
  <si>
    <t>823.009/353</t>
  </si>
  <si>
    <t>PR830.P75.R63 2016</t>
  </si>
  <si>
    <t>https://ebookcentral.proquest.com/lib/cam/detail.action?docID=4397219</t>
  </si>
  <si>
    <t>What Is Ethically Demanded? : K. E. løgstrup's Philosophy of Moral Life</t>
  </si>
  <si>
    <t>BJ874.L643.W438 2017</t>
  </si>
  <si>
    <t>https://ebookcentral.proquest.com/lib/cam/detail.action?docID=4731620</t>
  </si>
  <si>
    <t>Contesting Feminisms : Gender and Islam in Asia</t>
  </si>
  <si>
    <t>305.48/697095</t>
  </si>
  <si>
    <t>HQ1170 -- .C746 2015eb</t>
  </si>
  <si>
    <t>https://ebookcentral.proquest.com/lib/cam/detail.action?docID=4396580</t>
  </si>
  <si>
    <t>Plurilingualism and Multiliteracies : International Research on Identity Construction in Language Education</t>
  </si>
  <si>
    <t>P118.15 -- .P58 2014eb</t>
  </si>
  <si>
    <t>https://ebookcentral.proquest.com/lib/cam/detail.action?docID=1680438</t>
  </si>
  <si>
    <t>Meaning and Interpretation of Music in Cinema</t>
  </si>
  <si>
    <t>781.5/42</t>
  </si>
  <si>
    <t>ML2075.N48 2015</t>
  </si>
  <si>
    <t>https://ebookcentral.proquest.com/lib/cam/detail.action?docID=2120279</t>
  </si>
  <si>
    <t>Life-World, Intersubjectivity and Culture : Contemporary Dilemmas</t>
  </si>
  <si>
    <t>HN13 -- .L544 2016eb</t>
  </si>
  <si>
    <t>https://ebookcentral.proquest.com/lib/cam/detail.action?docID=4500341</t>
  </si>
  <si>
    <t>John Dewey, America's Peace-Minded Educator</t>
  </si>
  <si>
    <t>327.1/72092</t>
  </si>
  <si>
    <t>https://ebookcentral.proquest.com/lib/cam/detail.action?docID=4617090</t>
  </si>
  <si>
    <t>Ahmad Al-Ghazali, Remembrance, and the Metaphysics of Love</t>
  </si>
  <si>
    <t>181/.5</t>
  </si>
  <si>
    <t>B753.G354L86 2016</t>
  </si>
  <si>
    <t>https://ebookcentral.proquest.com/lib/cam/detail.action?docID=4722260</t>
  </si>
  <si>
    <t>Navigating Colonial Orders : Norwegian Entrepreneurship in Africa and Oceania</t>
  </si>
  <si>
    <t>338/.04089398206</t>
  </si>
  <si>
    <t>HF1566.5.A35N38 2014</t>
  </si>
  <si>
    <t>https://ebookcentral.proquest.com/lib/cam/detail.action?docID=1707801</t>
  </si>
  <si>
    <t>At Home and Astray : The Domestic Dog in Victorian Britain</t>
  </si>
  <si>
    <t>Agriculture</t>
  </si>
  <si>
    <t>SF422.6.G7 -- . H69 2015eb</t>
  </si>
  <si>
    <t>https://ebookcentral.proquest.com/lib/cam/detail.action?docID=3444204</t>
  </si>
  <si>
    <t>Practice of Value : Essays on Literature in Cultural Studies</t>
  </si>
  <si>
    <t>PN441 -- .F769 2013eb</t>
  </si>
  <si>
    <t>https://ebookcentral.proquest.com/lib/cam/detail.action?docID=1962980</t>
  </si>
  <si>
    <t>The Politics of Dubbing : Film Censorship and State Intervention in the Translation of Foreign Cinema in Fascist Italy</t>
  </si>
  <si>
    <t>363.310945/0904</t>
  </si>
  <si>
    <t>PN1995.65.I8.K438 2016</t>
  </si>
  <si>
    <t>https://ebookcentral.proquest.com/lib/cam/detail.action?docID=4875789</t>
  </si>
  <si>
    <t>The Politics of Cultural Capital : China's Quest for a Nobel Prize in Literature</t>
  </si>
  <si>
    <t>895.1/09</t>
  </si>
  <si>
    <t>PL2273 -- .L68 2006eb</t>
  </si>
  <si>
    <t>https://ebookcentral.proquest.com/lib/cam/detail.action?docID=3413658</t>
  </si>
  <si>
    <t>Women and Islam : Myths, Apologies, and the Limits of Feminist Critique</t>
  </si>
  <si>
    <t>BP173.4 -- .B68 2014eb</t>
  </si>
  <si>
    <t>https://ebookcentral.proquest.com/lib/cam/detail.action?docID=1699226</t>
  </si>
  <si>
    <t>Muslim Women of the Fergana Valley : A 19th-Century Ethnography from Central Asia</t>
  </si>
  <si>
    <t>305.42095809/034</t>
  </si>
  <si>
    <t>HQ1170 -- .N355 2016eb</t>
  </si>
  <si>
    <t>https://ebookcentral.proquest.com/lib/cam/detail.action?docID=4558337</t>
  </si>
  <si>
    <t>The Long Shadow of Vatican II : Living Faith and Negotiating Authority since the Second Vatican Council</t>
  </si>
  <si>
    <t>262/.52</t>
  </si>
  <si>
    <t>BX830 1962 -- .L58 2015eb</t>
  </si>
  <si>
    <t>https://ebookcentral.proquest.com/lib/cam/detail.action?docID=3571156</t>
  </si>
  <si>
    <t>A Critical Search for Values in George W. Bush’s State of the Union Addresses</t>
  </si>
  <si>
    <t>E903.3 -- .S695 2015eb</t>
  </si>
  <si>
    <t>https://ebookcentral.proquest.com/lib/cam/detail.action?docID=4003684</t>
  </si>
  <si>
    <t>René Girard, Unlikely Apologist : Mimetic Theory and Fundamental Theology</t>
  </si>
  <si>
    <t>B2430.G494.K37 2016eb</t>
  </si>
  <si>
    <t>https://ebookcentral.proquest.com/lib/cam/detail.action?docID=4525784</t>
  </si>
  <si>
    <t>Korean Religions in Relation : Buddhism, Confucianism, Christianity</t>
  </si>
  <si>
    <t>201/.509519</t>
  </si>
  <si>
    <t>BL2234.K67 2016</t>
  </si>
  <si>
    <t>https://ebookcentral.proquest.com/lib/cam/detail.action?docID=4710099</t>
  </si>
  <si>
    <t>Screening the Stage : Case Studies of Film Adaptations of Stage Plays and Musicals in the Classical Hollywood Era, 1914-1956</t>
  </si>
  <si>
    <t>PN1997.85.N435 2017</t>
  </si>
  <si>
    <t>https://ebookcentral.proquest.com/lib/cam/detail.action?docID=5087789</t>
  </si>
  <si>
    <t>Film, Fashion, and The 1960s</t>
  </si>
  <si>
    <t>PN1995.9.C56.F556 2017</t>
  </si>
  <si>
    <t>https://ebookcentral.proquest.com/lib/cam/detail.action?docID=5041709</t>
  </si>
  <si>
    <t>Hive Mind : How Your Nation's IQ Matters So Much More Than Your Own</t>
  </si>
  <si>
    <t>BF431</t>
  </si>
  <si>
    <t>https://ebookcentral.proquest.com/lib/cam/detail.action?docID=4414762</t>
  </si>
  <si>
    <t>Independent Stardom : Freelance Women in the Hollywood Studio System</t>
  </si>
  <si>
    <t>Science: Zoology; Science</t>
  </si>
  <si>
    <t>QL666.C5H525 2016</t>
  </si>
  <si>
    <t>https://ebookcentral.proquest.com/lib/cam/detail.action?docID=4397272</t>
  </si>
  <si>
    <t>Questioning Library Neutrality</t>
  </si>
  <si>
    <t>Library Juice Press</t>
  </si>
  <si>
    <t>Z716.4 -- .Q47 2008eb</t>
  </si>
  <si>
    <t>https://ebookcentral.proquest.com/lib/cam/detail.action?docID=3328212</t>
  </si>
  <si>
    <t>The Complete Poetry of Aimé Césaire : Bilingual Edition</t>
  </si>
  <si>
    <t>PQ3949.C44.C667 2017</t>
  </si>
  <si>
    <t>https://ebookcentral.proquest.com/lib/cam/detail.action?docID=4825582</t>
  </si>
  <si>
    <t>Made Men : Mafia Culture and the Power of Symbols, Rituals, and Myth</t>
  </si>
  <si>
    <t>HV6441 -- .N534 2013eb</t>
  </si>
  <si>
    <t>https://ebookcentral.proquest.com/lib/cam/detail.action?docID=1312176</t>
  </si>
  <si>
    <t>Who Owns Haiti? : People, Power, and Sovereignty</t>
  </si>
  <si>
    <t>F1928.2.W46 2017</t>
  </si>
  <si>
    <t>https://ebookcentral.proquest.com/lib/cam/detail.action?docID=4797356</t>
  </si>
  <si>
    <t>Negative Theology As Jewish Modernity</t>
  </si>
  <si>
    <t>BM610.N44 2017eb</t>
  </si>
  <si>
    <t>https://ebookcentral.proquest.com/lib/cam/detail.action?docID=4813364</t>
  </si>
  <si>
    <t>Syria from Reform to Revolt : Volume 1: Political Economy and International Relations</t>
  </si>
  <si>
    <t>DS98.6</t>
  </si>
  <si>
    <t>https://ebookcentral.proquest.com/lib/cam/detail.action?docID=4649072</t>
  </si>
  <si>
    <t>Urbanization in Early and Medieval China : Gazetteers for the City of Suzhou</t>
  </si>
  <si>
    <t>951/.136</t>
  </si>
  <si>
    <t>DS797.56.S894 -- .U73 2015eb</t>
  </si>
  <si>
    <t>https://ebookcentral.proquest.com/lib/cam/detail.action?docID=3444645</t>
  </si>
  <si>
    <t>Humour, Comedy and Laughter : Obscenities, Paradoxes, Insights and the Renewal of Life</t>
  </si>
  <si>
    <t>PN6149.S62 H835 2016</t>
  </si>
  <si>
    <t>https://ebookcentral.proquest.com/lib/cam/detail.action?docID=4386527</t>
  </si>
  <si>
    <t>Border Walls Gone Green : Nature and Anti-immigrant Politics in America</t>
  </si>
  <si>
    <t>JV6456 -- .H858 2015eb</t>
  </si>
  <si>
    <t>https://ebookcentral.proquest.com/lib/cam/detail.action?docID=4391835</t>
  </si>
  <si>
    <t>Bones of Complexity : Bioarchaeological Case Studies of Social Organization and Skeletal Biology</t>
  </si>
  <si>
    <t>CC79.5.H85.B664 2017</t>
  </si>
  <si>
    <t>https://ebookcentral.proquest.com/lib/cam/detail.action?docID=4825780</t>
  </si>
  <si>
    <t>Ritual and Archaic States</t>
  </si>
  <si>
    <t>CB311 -- .R588 2016eb</t>
  </si>
  <si>
    <t>https://ebookcentral.proquest.com/lib/cam/detail.action?docID=4573279</t>
  </si>
  <si>
    <t>The Polythink Syndrome : U. S. Foreign Policy Decisions on 9/11, Afghanistan, Iraq, Iran, Syria, and ISIS</t>
  </si>
  <si>
    <t>JZ1480</t>
  </si>
  <si>
    <t>https://ebookcentral.proquest.com/lib/cam/detail.action?docID=4414748</t>
  </si>
  <si>
    <t>Apostles of the Alps : Mountaineering and Nation Building in Germany and Austria, 1860-1939</t>
  </si>
  <si>
    <t>DQ828 -- .K45 2016eb</t>
  </si>
  <si>
    <t>https://ebookcentral.proquest.com/lib/cam/detail.action?docID=4453725</t>
  </si>
  <si>
    <t>Blue, the Gray, and the Green : Toward an Environmental History of the Civil War</t>
  </si>
  <si>
    <t>Science; History; Science: Biology/Natural History</t>
  </si>
  <si>
    <t>E468.9 -- .B584 2015eb</t>
  </si>
  <si>
    <t>https://ebookcentral.proquest.com/lib/cam/detail.action?docID=1895671</t>
  </si>
  <si>
    <t>Field Life : Science in the American West During the Railroad Era</t>
  </si>
  <si>
    <t>Science: General; Science</t>
  </si>
  <si>
    <t>508.78072/3</t>
  </si>
  <si>
    <t>https://ebookcentral.proquest.com/lib/cam/detail.action?docID=4731369</t>
  </si>
  <si>
    <t>Thought in the Act : Passages in the Ecology of Experience</t>
  </si>
  <si>
    <t>BF408 -- .M2346 2014eb</t>
  </si>
  <si>
    <t>https://ebookcentral.proquest.com/lib/cam/detail.action?docID=1673358</t>
  </si>
  <si>
    <t>American Business and Foreign Policy : 1920--1933</t>
  </si>
  <si>
    <t>HF1455.W49 1971eb</t>
  </si>
  <si>
    <t>https://ebookcentral.proquest.com/lib/cam/detail.action?docID=1915920</t>
  </si>
  <si>
    <t>What Is Philosophy?</t>
  </si>
  <si>
    <t>B87.A336 2018</t>
  </si>
  <si>
    <t>https://ebookcentral.proquest.com/lib/cam/detail.action?docID=5061567</t>
  </si>
  <si>
    <t>Debility and the Moral Imagination in Botswana : Disability, Chronic Illness, and Aging</t>
  </si>
  <si>
    <t>362.1/096883</t>
  </si>
  <si>
    <t>HN806.A8 -- L58 2005eb</t>
  </si>
  <si>
    <t>https://ebookcentral.proquest.com/lib/cam/detail.action?docID=268935</t>
  </si>
  <si>
    <t>Seeing Double : Baudelaire's Modernity</t>
  </si>
  <si>
    <t>841/.8</t>
  </si>
  <si>
    <t>PQ2191</t>
  </si>
  <si>
    <t>https://ebookcentral.proquest.com/lib/cam/detail.action?docID=836905</t>
  </si>
  <si>
    <t>Imagining China : Rhetorics of Nationalism in an Age of Globalization</t>
  </si>
  <si>
    <t>https://ebookcentral.proquest.com/lib/cam/detail.action?docID=4982427</t>
  </si>
  <si>
    <t>Foreigners under Mao : Western Lives in China, 1949–1976</t>
  </si>
  <si>
    <t>F3001.2.H667 2016</t>
  </si>
  <si>
    <t>https://ebookcentral.proquest.com/lib/cam/detail.action?docID=4592527</t>
  </si>
  <si>
    <t>Narratives in Motion : Journalism and Modernist Events in 1920s Portugal</t>
  </si>
  <si>
    <t>076.9/09042</t>
  </si>
  <si>
    <t>PN5324 .T75 2016</t>
  </si>
  <si>
    <t>https://ebookcentral.proquest.com/lib/cam/detail.action?docID=4415200</t>
  </si>
  <si>
    <t>From Loyalists to Loyal Citizens : The Depeyster Family of New York</t>
  </si>
  <si>
    <t>974.7/030922</t>
  </si>
  <si>
    <t>E278.D47 -- .M35 2015eb</t>
  </si>
  <si>
    <t>https://ebookcentral.proquest.com/lib/cam/detail.action?docID=3440560</t>
  </si>
  <si>
    <t>Family Revolution : Marital Strife in Contemporary Chinese Literature and Visual Culture</t>
  </si>
  <si>
    <t>https://ebookcentral.proquest.com/lib/cam/detail.action?docID=3444577</t>
  </si>
  <si>
    <t>«Of What is Past, or Passing, or to Come» : Travelling in Time and Space in Literature in English</t>
  </si>
  <si>
    <t>PN56.S667 -- .O37 2014eb</t>
  </si>
  <si>
    <t>https://ebookcentral.proquest.com/lib/cam/detail.action?docID=1752965</t>
  </si>
  <si>
    <t>Zombies, Migrants, and Queers : Race and Crisis Capitalism in Pop Culture</t>
  </si>
  <si>
    <t>P94</t>
  </si>
  <si>
    <t>https://ebookcentral.proquest.com/lib/cam/detail.action?docID=4813405</t>
  </si>
  <si>
    <t>Savage Preservation : The Ethnographic Origins of Modern Media Technology</t>
  </si>
  <si>
    <t>GN346 -- .H64 2014eb</t>
  </si>
  <si>
    <t>https://ebookcentral.proquest.com/lib/cam/detail.action?docID=1897831</t>
  </si>
  <si>
    <t>Thomas Aquinas on Persuasion : Action, Ends, and Natural Rhetoric</t>
  </si>
  <si>
    <t>B765.T54 -- .M216 2014eb</t>
  </si>
  <si>
    <t>https://ebookcentral.proquest.com/lib/cam/detail.action?docID=1585265</t>
  </si>
  <si>
    <t>For Strasbourg : Conversations of Friendship and Philosophy</t>
  </si>
  <si>
    <t>B2430.D482 -- .D477 2014eb</t>
  </si>
  <si>
    <t>https://ebookcentral.proquest.com/lib/cam/detail.action?docID=3239905</t>
  </si>
  <si>
    <t>Against Wind and Tide : The African American Struggle Against the Colonization Movement</t>
  </si>
  <si>
    <t>973/.0496073</t>
  </si>
  <si>
    <t>E448.P786 2014eb</t>
  </si>
  <si>
    <t>https://ebookcentral.proquest.com/lib/cam/detail.action?docID=1747367</t>
  </si>
  <si>
    <t>The Essex and the Whale : Melville's Leviathan Library and the Birth of Moby-Dick</t>
  </si>
  <si>
    <t>PS2384.M62E87 2016</t>
  </si>
  <si>
    <t>https://ebookcentral.proquest.com/lib/cam/detail.action?docID=4460208</t>
  </si>
  <si>
    <t>Emerging Research, Practice, and Policy on Computational Thinking</t>
  </si>
  <si>
    <t>Computer Science/IT; Education</t>
  </si>
  <si>
    <t>https://ebookcentral.proquest.com/lib/cam/detail.action?docID=4845746</t>
  </si>
  <si>
    <t>Death beyond Disavowal : The Impossible Politics of Difference</t>
  </si>
  <si>
    <t>HQ1190 -- .H665 2015eb</t>
  </si>
  <si>
    <t>https://ebookcentral.proquest.com/lib/cam/detail.action?docID=4391817</t>
  </si>
  <si>
    <t>City of Ugarit at Tell Ras Shamra</t>
  </si>
  <si>
    <t>939/.43</t>
  </si>
  <si>
    <t>DS99.U35 -- Y6613 2006eb</t>
  </si>
  <si>
    <t>https://ebookcentral.proquest.com/lib/cam/detail.action?docID=3155542</t>
  </si>
  <si>
    <t>Prologue to Conflict : The Crisis and Compromise Of 1850</t>
  </si>
  <si>
    <t>E423.H365 2005eb</t>
  </si>
  <si>
    <t>https://ebookcentral.proquest.com/lib/cam/detail.action?docID=1915264</t>
  </si>
  <si>
    <t>The Ethos of Drama : Rhetorical Theory and Dramatic Worth</t>
  </si>
  <si>
    <t>PR625</t>
  </si>
  <si>
    <t>https://ebookcentral.proquest.com/lib/cam/detail.action?docID=3134983</t>
  </si>
  <si>
    <t>English Congregational Hymns in the Eighteenth Century</t>
  </si>
  <si>
    <t>264/.2</t>
  </si>
  <si>
    <t>BV312 -- .M28 1982eb</t>
  </si>
  <si>
    <t>https://ebookcentral.proquest.com/lib/cam/detail.action?docID=1915567</t>
  </si>
  <si>
    <t>Settler Common Sense : Queerness and Everyday Colonialism in the American Renaissance</t>
  </si>
  <si>
    <t>809/.933520397</t>
  </si>
  <si>
    <t>PN56.3.I6 -- .R54 2014eb</t>
  </si>
  <si>
    <t>https://ebookcentral.proquest.com/lib/cam/detail.action?docID=1701708</t>
  </si>
  <si>
    <t>Planning the American Indian Reservation : From Theory to Empowerment</t>
  </si>
  <si>
    <t>E93 -- .Z34 2015eb</t>
  </si>
  <si>
    <t>https://ebookcentral.proquest.com/lib/cam/detail.action?docID=3440568</t>
  </si>
  <si>
    <t>Becoming Women : The Embodied Self in Image Culture</t>
  </si>
  <si>
    <t>306.4/613</t>
  </si>
  <si>
    <t>HQ1219.R53 2014</t>
  </si>
  <si>
    <t>https://ebookcentral.proquest.com/lib/cam/detail.action?docID=4672401</t>
  </si>
  <si>
    <t>Manufacturing Phobias : The Political Production of Fear in Theory and Practice</t>
  </si>
  <si>
    <t>320.01/9</t>
  </si>
  <si>
    <t>JA74.5.M358 2016eb</t>
  </si>
  <si>
    <t>https://ebookcentral.proquest.com/lib/cam/detail.action?docID=4669773</t>
  </si>
  <si>
    <t>Elliot, A Soldier's Fugue</t>
  </si>
  <si>
    <t>Theatre Communications Group</t>
  </si>
  <si>
    <t>PS3608.U3234 -- E55 2012eb</t>
  </si>
  <si>
    <t>https://ebookcentral.proquest.com/lib/cam/detail.action?docID=1044430</t>
  </si>
  <si>
    <t>More Than Nature Needs : Language, Mind, and Evolution</t>
  </si>
  <si>
    <t>401/.9</t>
  </si>
  <si>
    <t>P106</t>
  </si>
  <si>
    <t>https://ebookcentral.proquest.com/lib/cam/detail.action?docID=3301372</t>
  </si>
  <si>
    <t>Reinventing the People : The Progressive Movement, the Class Problem, and the Origins of Modern Liberalism</t>
  </si>
  <si>
    <t>303.48/4/097309041</t>
  </si>
  <si>
    <t>HD8076</t>
  </si>
  <si>
    <t>https://ebookcentral.proquest.com/lib/cam/detail.action?docID=3413965</t>
  </si>
  <si>
    <t>Shock Waves : Managing the Impacts of Climate Change on Poverty</t>
  </si>
  <si>
    <t>HC59.3 -- .H335 2016eb</t>
  </si>
  <si>
    <t>https://ebookcentral.proquest.com/lib/cam/detail.action?docID=4397386</t>
  </si>
  <si>
    <t>Passage to the Center : Imagination and the Sacred in the Poetry of Seamus Heaney</t>
  </si>
  <si>
    <t>PR6058.E2 -- .T635 1999eb</t>
  </si>
  <si>
    <t>https://ebookcentral.proquest.com/lib/cam/detail.action?docID=1915064</t>
  </si>
  <si>
    <t>Chopin's Prophet : The Life of Pianist Vladimir de Pachmann</t>
  </si>
  <si>
    <t>ML417.P17 -- B46 2013eb</t>
  </si>
  <si>
    <t>https://ebookcentral.proquest.com/lib/cam/detail.action?docID=1380567</t>
  </si>
  <si>
    <t>Labor in the Global Digital Economy : The Cybertariat Comes of Age</t>
  </si>
  <si>
    <t>Monthly Review Press</t>
  </si>
  <si>
    <t>HM851 -- .H867 2014eb</t>
  </si>
  <si>
    <t>https://ebookcentral.proquest.com/lib/cam/detail.action?docID=1864037</t>
  </si>
  <si>
    <t>Moscow in Movement : Power and Opposition in Putin's Russia</t>
  </si>
  <si>
    <t>947.086/2</t>
  </si>
  <si>
    <t>JN6699</t>
  </si>
  <si>
    <t>https://ebookcentral.proquest.com/lib/cam/detail.action?docID=1742622</t>
  </si>
  <si>
    <t>Writing Home : Lewis Nkosi on South African Writing</t>
  </si>
  <si>
    <t>PR9364.9.W758 2016</t>
  </si>
  <si>
    <t>https://ebookcentral.proquest.com/lib/cam/detail.action?docID=4694648</t>
  </si>
  <si>
    <t>Carolina in Crisis : Cherokees, Colonists, and Slaves in the American Southeast, 1756-1763</t>
  </si>
  <si>
    <t>975.7/01</t>
  </si>
  <si>
    <t>E83.759 -- .T678 2015eb</t>
  </si>
  <si>
    <t>https://ebookcentral.proquest.com/lib/cam/detail.action?docID=3039552</t>
  </si>
  <si>
    <t>Atlantic Politics, Military Strategy and the French and Indian War</t>
  </si>
  <si>
    <t>https://ebookcentral.proquest.com/lib/cam/detail.action?docID=4573241</t>
  </si>
  <si>
    <t>Making of Many Books : Printed Works on Ecclesiastes 1523-1875</t>
  </si>
  <si>
    <t>016.223/8</t>
  </si>
  <si>
    <t>Z7772.C35 -- .W445 2014eb</t>
  </si>
  <si>
    <t>https://ebookcentral.proquest.com/lib/cam/detail.action?docID=3155709</t>
  </si>
  <si>
    <t>Pola Negri : Hollywood's First Femme Fatale</t>
  </si>
  <si>
    <t>791.4302/8092 B</t>
  </si>
  <si>
    <t>PN2287.N35 -- .K68 2014eb</t>
  </si>
  <si>
    <t>https://ebookcentral.proquest.com/lib/cam/detail.action?docID=1636250</t>
  </si>
  <si>
    <t>Ukraine and Beyond : Russia's Strategic Security Challenge to Europe</t>
  </si>
  <si>
    <t>https://ebookcentral.proquest.com/lib/cam/detail.action?docID=4626226</t>
  </si>
  <si>
    <t>Matters of Care : Speculative Ethics in More Than Human Worlds</t>
  </si>
  <si>
    <t>177/.7</t>
  </si>
  <si>
    <t>BJ1475.P85 2017</t>
  </si>
  <si>
    <t>https://ebookcentral.proquest.com/lib/cam/detail.action?docID=4745533</t>
  </si>
  <si>
    <t>Dialectical Thinking : Zeno, Socrates, Kant, Marx</t>
  </si>
  <si>
    <t>Algora Publishing</t>
  </si>
  <si>
    <t>B105.T54 -- .H36 2015eb</t>
  </si>
  <si>
    <t>https://ebookcentral.proquest.com/lib/cam/detail.action?docID=3001726</t>
  </si>
  <si>
    <t>Group Conflict and Political Mobilization in Bahrain and the Arab Gulf : Rethinking the Rentier State</t>
  </si>
  <si>
    <t>JQ1846.A69P64 2015</t>
  </si>
  <si>
    <t>https://ebookcentral.proquest.com/lib/cam/detail.action?docID=2036034</t>
  </si>
  <si>
    <t>Mission to Yenan : American Liaison with the Chinese Communists, 1944-1947</t>
  </si>
  <si>
    <t>327.73051/09/044</t>
  </si>
  <si>
    <t>E183.8.C6.C37 1997eb</t>
  </si>
  <si>
    <t>https://ebookcentral.proquest.com/lib/cam/detail.action?docID=1915245</t>
  </si>
  <si>
    <t>The Spirits of Crossbones Graveyard : Time, Ritual, and Sexual Commerce in London</t>
  </si>
  <si>
    <t>HQ186.L66.H387 2016</t>
  </si>
  <si>
    <t>https://ebookcentral.proquest.com/lib/cam/detail.action?docID=4675483</t>
  </si>
  <si>
    <t>Modern Manhood and the Boy Scouts of America : Citizenship, Race, and the Environment, 1910-1930</t>
  </si>
  <si>
    <t>369.4301/9</t>
  </si>
  <si>
    <t>HS3313.J67 2016</t>
  </si>
  <si>
    <t>https://ebookcentral.proquest.com/lib/cam/detail.action?docID=4443594</t>
  </si>
  <si>
    <t>Explaining Culture Scientifically</t>
  </si>
  <si>
    <t>GN357.E99 2008</t>
  </si>
  <si>
    <t>https://ebookcentral.proquest.com/lib/cam/detail.action?docID=4649022</t>
  </si>
  <si>
    <t>Remembering Julius Nyerere in Tanzania : History, Memory, Legacy</t>
  </si>
  <si>
    <t>DT448.N9 -- R46 2015eb</t>
  </si>
  <si>
    <t>https://ebookcentral.proquest.com/lib/cam/detail.action?docID=4504917</t>
  </si>
  <si>
    <t>Brazil, the United States, and the South American Subsystem : Regional Politics and the Absent Empire</t>
  </si>
  <si>
    <t>E183.8.B7 -- T45 2012eb</t>
  </si>
  <si>
    <t>https://ebookcentral.proquest.com/lib/cam/detail.action?docID=997574</t>
  </si>
  <si>
    <t>Cinema and Counter-History</t>
  </si>
  <si>
    <t>PN1995.2L36 1996</t>
  </si>
  <si>
    <t>https://ebookcentral.proquest.com/lib/cam/detail.action?docID=1992030</t>
  </si>
  <si>
    <t>Bad Girls : Young Women, Sex, and Rebellion Before the Sixties</t>
  </si>
  <si>
    <t>HQ18.U5 -- .L528 2015eb</t>
  </si>
  <si>
    <t>https://ebookcentral.proquest.com/lib/cam/detail.action?docID=3571158</t>
  </si>
  <si>
    <t>Monetary and Political History of the Phoenician City of Byblos (5th-4th Centuries B.C.)</t>
  </si>
  <si>
    <t>DS89.B9 -- .E439 2014eb</t>
  </si>
  <si>
    <t>https://ebookcentral.proquest.com/lib/cam/detail.action?docID=3155713</t>
  </si>
  <si>
    <t>Passing Judgment : The Politics and Poetics of Sovereignty in French Tragedy from Hardy to Racine</t>
  </si>
  <si>
    <t>PQ528.B555 2016</t>
  </si>
  <si>
    <t>https://ebookcentral.proquest.com/lib/cam/detail.action?docID=4699947</t>
  </si>
  <si>
    <t>Africa-To-Africa Internationalization : Key Issues and Outcomes</t>
  </si>
  <si>
    <t>HF4999.2-6182</t>
  </si>
  <si>
    <t>https://ebookcentral.proquest.com/lib/cam/detail.action?docID=4696815</t>
  </si>
  <si>
    <t>The Work of Art in the Age of Deindustrialization</t>
  </si>
  <si>
    <t>811/.5409</t>
  </si>
  <si>
    <t>PS325.B476 2017</t>
  </si>
  <si>
    <t>https://ebookcentral.proquest.com/lib/cam/detail.action?docID=4862156</t>
  </si>
  <si>
    <t>America's Political Dynasties : From Adams to Clinton</t>
  </si>
  <si>
    <t>E176.H59 2016eb</t>
  </si>
  <si>
    <t>https://ebookcentral.proquest.com/lib/cam/detail.action?docID=4090971</t>
  </si>
  <si>
    <t>Without the Least Tremor : The Sacrifice of Socrates in Plato's Phaedo</t>
  </si>
  <si>
    <t>B379.R66 2015</t>
  </si>
  <si>
    <t>https://ebookcentral.proquest.com/lib/cam/detail.action?docID=4503979</t>
  </si>
  <si>
    <t>Sacred Interests : The United States and the Islamic World, 1821-1921</t>
  </si>
  <si>
    <t>327.73017/6709034</t>
  </si>
  <si>
    <t>DS35.74.U6W36 2015</t>
  </si>
  <si>
    <t>https://ebookcentral.proquest.com/lib/cam/detail.action?docID=4322264</t>
  </si>
  <si>
    <t>Henry Wallace's 1948 Presidential Campaign and the Future of Postwar Liberalism</t>
  </si>
  <si>
    <t>E748.W23 -- D48 2013eb</t>
  </si>
  <si>
    <t>https://ebookcentral.proquest.com/lib/cam/detail.action?docID=1120523</t>
  </si>
  <si>
    <t>London's West End Actresses and the Origins of Celebrity Charity, 1880-1920</t>
  </si>
  <si>
    <t>361.7088/792028</t>
  </si>
  <si>
    <t>PN2596</t>
  </si>
  <si>
    <t>https://ebookcentral.proquest.com/lib/cam/detail.action?docID=4558201</t>
  </si>
  <si>
    <t>Reading Together, Reading Apart : Identity, Belonging, and South Asian American Community</t>
  </si>
  <si>
    <t>305.895/073</t>
  </si>
  <si>
    <t>https://ebookcentral.proquest.com/lib/cam/detail.action?docID=4792722</t>
  </si>
  <si>
    <t>All Poets Welcome : The Lower East Side Poetry Scene in The 1960s</t>
  </si>
  <si>
    <t>University of California Press</t>
  </si>
  <si>
    <t>811/.540997471</t>
  </si>
  <si>
    <t>PS255.N5 -- K36 2003eb</t>
  </si>
  <si>
    <t>https://ebookcentral.proquest.com/lib/cam/detail.action?docID=470947</t>
  </si>
  <si>
    <t>Yeats and Afterwords</t>
  </si>
  <si>
    <t>821/.8</t>
  </si>
  <si>
    <t>PR5907</t>
  </si>
  <si>
    <t>https://ebookcentral.proquest.com/lib/cam/detail.action?docID=3441170</t>
  </si>
  <si>
    <t>Rethinking Sexual Citizenship</t>
  </si>
  <si>
    <t>HQ1075.5.U6J67 2015</t>
  </si>
  <si>
    <t>https://ebookcentral.proquest.com/lib/cam/detail.action?docID=4528790</t>
  </si>
  <si>
    <t>Politics of Deconstruction : A New Introduction to Jacques Derrida</t>
  </si>
  <si>
    <t>https://ebookcentral.proquest.com/lib/cam/detail.action?docID=1731655</t>
  </si>
  <si>
    <t>The Supersensible in Kant’s «Critique of Judgment»</t>
  </si>
  <si>
    <t>B2784.B66 2015</t>
  </si>
  <si>
    <t>https://ebookcentral.proquest.com/lib/cam/detail.action?docID=4322685</t>
  </si>
  <si>
    <t>The Structure of Detachment : The Aesthetic Vision of Kuki Shuzo</t>
  </si>
  <si>
    <t>B5244.K844 -- N3713 2004eb</t>
  </si>
  <si>
    <t>https://ebookcentral.proquest.com/lib/cam/detail.action?docID=3413750</t>
  </si>
  <si>
    <t>Sensuous Cinema of Wong Kar-wai : Film Poetics and the Aesthetic of Disturbance</t>
  </si>
  <si>
    <t>PN1993.5.A78 -- B48 2015eb</t>
  </si>
  <si>
    <t>https://ebookcentral.proquest.com/lib/cam/detail.action?docID=1863707</t>
  </si>
  <si>
    <t>Post-Mandarin : Masculinity and Aesthetic Modernity in Colonial Vietnam</t>
  </si>
  <si>
    <t>PL4378.05.T64 2017</t>
  </si>
  <si>
    <t>https://ebookcentral.proquest.com/lib/cam/detail.action?docID=4681103</t>
  </si>
  <si>
    <t>Plagiarama! : William Wells Brown and the Aesthetic of Attractions</t>
  </si>
  <si>
    <t>PS1139.B9</t>
  </si>
  <si>
    <t>https://ebookcentral.proquest.com/lib/cam/detail.action?docID=4398614</t>
  </si>
  <si>
    <t>Barry Le Va : The Aesthetic Aftermath</t>
  </si>
  <si>
    <t>N6537.L428 M35 2015</t>
  </si>
  <si>
    <t>https://ebookcentral.proquest.com/lib/cam/detail.action?docID=2189768</t>
  </si>
  <si>
    <t>The Aesthetic of Johann Sebastian Bach</t>
  </si>
  <si>
    <t>HN28 -- .R87 2014eb</t>
  </si>
  <si>
    <t>https://ebookcentral.proquest.com/lib/cam/detail.action?docID=1716739</t>
  </si>
  <si>
    <t>Aesthetic Theology and Its Enemies : Judaism in Christian Painting, Poetry, and Politics</t>
  </si>
  <si>
    <t>700/.48296</t>
  </si>
  <si>
    <t>https://ebookcentral.proquest.com/lib/cam/detail.action?docID=1882433</t>
  </si>
  <si>
    <t>The Reckoning of Pluralism : Political Belonging and the Demands of History in Turkey</t>
  </si>
  <si>
    <t>322/.109561</t>
  </si>
  <si>
    <t>https://ebookcentral.proquest.com/lib/cam/detail.action?docID=1650797</t>
  </si>
  <si>
    <t>American Terror : The Feeling of Thinking in Edwards, Poe, and Melville</t>
  </si>
  <si>
    <t>https://ebookcentral.proquest.com/lib/cam/detail.action?docID=3568941</t>
  </si>
  <si>
    <t>A History of Orthodox, Islamic, and Western Christian Political Values</t>
  </si>
  <si>
    <t>https://ebookcentral.proquest.com/lib/cam/detail.action?docID=4684337</t>
  </si>
  <si>
    <t>Michael Psellos on Literature and Art : A Byzantine Perspective on Aesthetics</t>
  </si>
  <si>
    <t>801/.9</t>
  </si>
  <si>
    <t>BH137.M534 2017</t>
  </si>
  <si>
    <t>https://ebookcentral.proquest.com/lib/cam/detail.action?docID=4731611</t>
  </si>
  <si>
    <t>Bridging Traditions : Alchemy, Chemistry, and Paracelsian Practices in the Early Modern Era</t>
  </si>
  <si>
    <t>Truman State University Press</t>
  </si>
  <si>
    <t>Science: Chemistry; Science</t>
  </si>
  <si>
    <t>540.9/031</t>
  </si>
  <si>
    <t>QD14 -- .B753 2015eb</t>
  </si>
  <si>
    <t>https://ebookcentral.proquest.com/lib/cam/detail.action?docID=3440628</t>
  </si>
  <si>
    <t>In Response to the Religious Other : Ricoeur and the Fragility of Interreligious Encounters</t>
  </si>
  <si>
    <t>B2430.R554 -- .M693 2014eb</t>
  </si>
  <si>
    <t>https://ebookcentral.proquest.com/lib/cam/detail.action?docID=1810391</t>
  </si>
  <si>
    <t>Haunting History : For a Deconstructive Approach to the Past</t>
  </si>
  <si>
    <t>D16.8.K545 2017</t>
  </si>
  <si>
    <t>https://ebookcentral.proquest.com/lib/cam/detail.action?docID=4983442</t>
  </si>
  <si>
    <t>Punishment in Popular Culture</t>
  </si>
  <si>
    <t>791.43/6556</t>
  </si>
  <si>
    <t>PN1995.9.P795 .P865 2015</t>
  </si>
  <si>
    <t>https://ebookcentral.proquest.com/lib/cam/detail.action?docID=2073212</t>
  </si>
  <si>
    <t>Commentary on Genesis : Didymus the Blind</t>
  </si>
  <si>
    <t>BS1235</t>
  </si>
  <si>
    <t>https://ebookcentral.proquest.com/lib/cam/detail.action?docID=4592422</t>
  </si>
  <si>
    <t>The Epic of Juan Latino : Dilemmas of Race and Religion in Renaissance Spain</t>
  </si>
  <si>
    <t>PA8540 L615.W754 2016eb</t>
  </si>
  <si>
    <t>https://ebookcentral.proquest.com/lib/cam/detail.action?docID=4624946</t>
  </si>
  <si>
    <t>Science, Religion and Communism in Cold War Europe</t>
  </si>
  <si>
    <t>https://ebookcentral.proquest.com/lib/cam/detail.action?docID=4720316</t>
  </si>
  <si>
    <t>Airport Urbanism : Infrastructure and Mobility in Asia</t>
  </si>
  <si>
    <t>307.1/216095</t>
  </si>
  <si>
    <t>HT169.A78H57 2016</t>
  </si>
  <si>
    <t>https://ebookcentral.proquest.com/lib/cam/detail.action?docID=4392081</t>
  </si>
  <si>
    <t>Dance Circles : Movement, Morality and Self-Fashioning in Urban Senegal</t>
  </si>
  <si>
    <t>GV1710.S46N49 2013</t>
  </si>
  <si>
    <t>https://ebookcentral.proquest.com/lib/cam/detail.action?docID=1564645</t>
  </si>
  <si>
    <t>Fanfares and Finesse : A Performer's Guide to Trumpet History and Literature</t>
  </si>
  <si>
    <t>788.9/21909</t>
  </si>
  <si>
    <t>ML960.K644 2014eb</t>
  </si>
  <si>
    <t>https://ebookcentral.proquest.com/lib/cam/detail.action?docID=1605199</t>
  </si>
  <si>
    <t>Queer Theory : The French Response</t>
  </si>
  <si>
    <t>HQ76</t>
  </si>
  <si>
    <t>https://ebookcentral.proquest.com/lib/cam/detail.action?docID=4769972</t>
  </si>
  <si>
    <t>Reframing Biblical Studies : When Language and Text Meet Culture, Cognition, and Context</t>
  </si>
  <si>
    <t>BS511.3 -- .W663 2009eb</t>
  </si>
  <si>
    <t>https://ebookcentral.proquest.com/lib/cam/detail.action?docID=3155619</t>
  </si>
  <si>
    <t>Languages in Africa : Multilingualism, Language Policy, and Education</t>
  </si>
  <si>
    <t>306.44/6096</t>
  </si>
  <si>
    <t>P115.5.A35 -- .L364 2014eb</t>
  </si>
  <si>
    <t>https://ebookcentral.proquest.com/lib/cam/detail.action?docID=1977097</t>
  </si>
  <si>
    <t>Metaphysics As Rhetoric : Alfarabi's Summary of Plato's Laws</t>
  </si>
  <si>
    <t>321/.07</t>
  </si>
  <si>
    <t>JC71.P264P37 1995</t>
  </si>
  <si>
    <t>https://ebookcentral.proquest.com/lib/cam/detail.action?docID=4429643</t>
  </si>
  <si>
    <t>The Disney Fetish</t>
  </si>
  <si>
    <t>791.43/34</t>
  </si>
  <si>
    <t>PN1999.W27.H377 2015</t>
  </si>
  <si>
    <t>https://ebookcentral.proquest.com/lib/cam/detail.action?docID=2027046</t>
  </si>
  <si>
    <t>No End in Sight : The Continuing Menace of Nuclear Proliferation</t>
  </si>
  <si>
    <t>JZ5675.B87 2004eb</t>
  </si>
  <si>
    <t>https://ebookcentral.proquest.com/lib/cam/detail.action?docID=1915253</t>
  </si>
  <si>
    <t>The Strength of Culture for Development : Why Culture Matters in International Cooperation</t>
  </si>
  <si>
    <t>HM621 -- .S773 2014eb</t>
  </si>
  <si>
    <t>https://ebookcentral.proquest.com/lib/cam/detail.action?docID=1815709</t>
  </si>
  <si>
    <t>Handbook of Arabic Literacy : Insights and Perspectives</t>
  </si>
  <si>
    <t>Education; Language/Linguistics</t>
  </si>
  <si>
    <t>https://ebookcentral.proquest.com/lib/cam/detail.action?docID=1698479</t>
  </si>
  <si>
    <t>Bringing Government into the 21st Century : The Korean Digital Governance Experience</t>
  </si>
  <si>
    <t>JQ1725.A55 -- .B756 2016eb</t>
  </si>
  <si>
    <t>https://ebookcentral.proquest.com/lib/cam/detail.action?docID=4592187</t>
  </si>
  <si>
    <t>An Introduction to the Study of Medieval Latin Versification</t>
  </si>
  <si>
    <t>871/.0309</t>
  </si>
  <si>
    <t>PA8051</t>
  </si>
  <si>
    <t>https://ebookcentral.proquest.com/lib/cam/detail.action?docID=3134775</t>
  </si>
  <si>
    <t>Simón Bolívar : Travels and Transformations of a Cultural Icon</t>
  </si>
  <si>
    <t>980/.02092</t>
  </si>
  <si>
    <t>F2235.3.S566 2016</t>
  </si>
  <si>
    <t>https://ebookcentral.proquest.com/lib/cam/detail.action?docID=4746908</t>
  </si>
  <si>
    <t>Critical Reading in Higher Education : Academic Goals and Social Engagement</t>
  </si>
  <si>
    <t>LB2395.3.M26 2015</t>
  </si>
  <si>
    <t>https://ebookcentral.proquest.com/lib/cam/detail.action?docID=4088470</t>
  </si>
  <si>
    <t>Curating America : Journeys Through Storyscapes of the American Past</t>
  </si>
  <si>
    <t>History; Museums</t>
  </si>
  <si>
    <t>069.0973/0904</t>
  </si>
  <si>
    <t>E175.9.R33 2016</t>
  </si>
  <si>
    <t>https://ebookcentral.proquest.com/lib/cam/detail.action?docID=4525823</t>
  </si>
  <si>
    <t>Suspicious Moderate : The Life and Writings of Francis à Sancta Clara (1598-1680)</t>
  </si>
  <si>
    <t>282.092 B</t>
  </si>
  <si>
    <t>BX4705.F7318.D38 2017</t>
  </si>
  <si>
    <t>https://ebookcentral.proquest.com/lib/cam/detail.action?docID=4731616</t>
  </si>
  <si>
    <t>Heroes and States : On the Ideology of Restoration Tragedy</t>
  </si>
  <si>
    <t>822/.05120904</t>
  </si>
  <si>
    <t>PR698.T7.C36 2000eb</t>
  </si>
  <si>
    <t>https://ebookcentral.proquest.com/lib/cam/detail.action?docID=1915199</t>
  </si>
  <si>
    <t>American Exceptionalism and Civil Religion : Reassessing the History of an Idea</t>
  </si>
  <si>
    <t>BR115.P7 -- .W557 2015eb</t>
  </si>
  <si>
    <t>https://ebookcentral.proquest.com/lib/cam/detail.action?docID=4107717</t>
  </si>
  <si>
    <t>Thresholds of Illiteracy : Theory, Latin America, and the Crisis of Resistance</t>
  </si>
  <si>
    <t>860.9/98</t>
  </si>
  <si>
    <t>PQ7081.A1 -- .A25 2014eb</t>
  </si>
  <si>
    <t>https://ebookcentral.proquest.com/lib/cam/detail.action?docID=3239892</t>
  </si>
  <si>
    <t>Islam and Politics in the Middle East : Explaining the Views of Ordinary Citizens</t>
  </si>
  <si>
    <t>297.2/720956</t>
  </si>
  <si>
    <t>BP173.7 -- .T47 2015eb</t>
  </si>
  <si>
    <t>https://ebookcentral.proquest.com/lib/cam/detail.action?docID=2040253</t>
  </si>
  <si>
    <t>Transparency in Postwar France : A Critical History of the Present</t>
  </si>
  <si>
    <t>B2424.T73.G47 2014</t>
  </si>
  <si>
    <t>https://ebookcentral.proquest.com/lib/cam/detail.action?docID=5024626</t>
  </si>
  <si>
    <t>Plotting Power : Strategy in the Eighteenth Century</t>
  </si>
  <si>
    <t>D214</t>
  </si>
  <si>
    <t>https://ebookcentral.proquest.com/lib/cam/detail.action?docID=4849399</t>
  </si>
  <si>
    <t>Geopolitics and the Quest for Dominance</t>
  </si>
  <si>
    <t>JC319.B573 2015</t>
  </si>
  <si>
    <t>https://ebookcentral.proquest.com/lib/cam/detail.action?docID=4087207</t>
  </si>
  <si>
    <t>The Power of Sacrifice : Roman and Christian Discourses in Conflict</t>
  </si>
  <si>
    <t>203/.40937</t>
  </si>
  <si>
    <t>https://ebookcentral.proquest.com/lib/cam/detail.action?docID=3134789</t>
  </si>
  <si>
    <t>Empowering Revolution : America, Poland, and the End of the Cold War</t>
  </si>
  <si>
    <t>E183.8.P7.D663 2014</t>
  </si>
  <si>
    <t>https://ebookcentral.proquest.com/lib/cam/detail.action?docID=1775388</t>
  </si>
  <si>
    <t>The Kojiki : An Account of Ancient Matters</t>
  </si>
  <si>
    <t>Religion; History; Fiction</t>
  </si>
  <si>
    <t>DS855 -- .O937 2014eb</t>
  </si>
  <si>
    <t>https://ebookcentral.proquest.com/lib/cam/detail.action?docID=1785218</t>
  </si>
  <si>
    <t>Living on Your Own : Single Women, Rental Housing, and Post-Revolutionary Affect in Contemporary South Korea</t>
  </si>
  <si>
    <t>HQ1765.5 -- .S654 2014eb</t>
  </si>
  <si>
    <t>https://ebookcentral.proquest.com/lib/cam/detail.action?docID=3408854</t>
  </si>
  <si>
    <t>Thinking Through Animals : Identity, Difference, Indistinction</t>
  </si>
  <si>
    <t>121/.3</t>
  </si>
  <si>
    <t>B105</t>
  </si>
  <si>
    <t>https://ebookcentral.proquest.com/lib/cam/detail.action?docID=3568948</t>
  </si>
  <si>
    <t>Remembering Places : A Phenomenological Study of the Relationship between Memory and Place</t>
  </si>
  <si>
    <t>BD181.7 -- .D666 2014eb</t>
  </si>
  <si>
    <t>https://ebookcentral.proquest.com/lib/cam/detail.action?docID=1727521</t>
  </si>
  <si>
    <t>Dissonance : Auditory Aesthetics in Ancient Greece</t>
  </si>
  <si>
    <t>BH108.G873 2016</t>
  </si>
  <si>
    <t>https://ebookcentral.proquest.com/lib/cam/detail.action?docID=4528717</t>
  </si>
  <si>
    <t>Music and the Crises of the Modern Subject</t>
  </si>
  <si>
    <t>781.1/7</t>
  </si>
  <si>
    <t>ML3845 .K598 2015</t>
  </si>
  <si>
    <t>https://ebookcentral.proquest.com/lib/cam/detail.action?docID=2068802</t>
  </si>
  <si>
    <t>Dressing for the Culture Wars : Style and the Politics of Self-Presentation in the 1960s and 1970s</t>
  </si>
  <si>
    <t>GT605 -- .H57 2015eb</t>
  </si>
  <si>
    <t>https://ebookcentral.proquest.com/lib/cam/detail.action?docID=3571069</t>
  </si>
  <si>
    <t>The Paris Embassy : British Ambassadors and Anglo-French Relations 1944-79</t>
  </si>
  <si>
    <t>https://ebookcentral.proquest.com/lib/cam/detail.action?docID=1779893</t>
  </si>
  <si>
    <t>Foodways and Daily Life in Medieval Anatolia : A New Social History</t>
  </si>
  <si>
    <t>394.1/209561</t>
  </si>
  <si>
    <t>GT2853.T9 -- T74 2014eb</t>
  </si>
  <si>
    <t>https://ebookcentral.proquest.com/lib/cam/detail.action?docID=3571805</t>
  </si>
  <si>
    <t>Sous les pavés … The Troubles : Northern Ireland, France and the European Collective Memory of 1968</t>
  </si>
  <si>
    <t>HN398.N6 -- R48 2014eb</t>
  </si>
  <si>
    <t>https://ebookcentral.proquest.com/lib/cam/detail.action?docID=1920178</t>
  </si>
  <si>
    <t>Veteran Narratives and the Collective Memory of the Vietnam War</t>
  </si>
  <si>
    <t>959.704/30922</t>
  </si>
  <si>
    <t>DS559.73.U6 -- .W663 2016eb</t>
  </si>
  <si>
    <t>https://ebookcentral.proquest.com/lib/cam/detail.action?docID=4427080</t>
  </si>
  <si>
    <t>Cult and Character : Purification Offerings, Day of Atonement, and Theodicy</t>
  </si>
  <si>
    <t>296.4/9</t>
  </si>
  <si>
    <t>BM702 -- .G35 2005eb</t>
  </si>
  <si>
    <t>https://ebookcentral.proquest.com/lib/cam/detail.action?docID=3155541</t>
  </si>
  <si>
    <t>Spinoza's Philosophy of Divine Order</t>
  </si>
  <si>
    <t>B3998 -- .S734 2015eb</t>
  </si>
  <si>
    <t>https://ebookcentral.proquest.com/lib/cam/detail.action?docID=4012266</t>
  </si>
  <si>
    <t>I, You, and the Word "God" : Finding Meaning in the Song of Songs</t>
  </si>
  <si>
    <t>223/.906</t>
  </si>
  <si>
    <t>BS1485.52.Z436 2016</t>
  </si>
  <si>
    <t>https://ebookcentral.proquest.com/lib/cam/detail.action?docID=4772174</t>
  </si>
  <si>
    <t>Turned Inside Out : Reading the Russian Novel in Prison</t>
  </si>
  <si>
    <t>PG3095</t>
  </si>
  <si>
    <t>https://ebookcentral.proquest.com/lib/cam/detail.action?docID=4815104</t>
  </si>
  <si>
    <t>Out of Control : Confrontations Between Spinoza and Levinas</t>
  </si>
  <si>
    <t>199/.492</t>
  </si>
  <si>
    <t>B5800.C65 2015</t>
  </si>
  <si>
    <t>https://ebookcentral.proquest.com/lib/cam/detail.action?docID=4528796</t>
  </si>
  <si>
    <t>Levinas and the Night of Being : A Guide to Totality and Infinity</t>
  </si>
  <si>
    <t>BD396.L433.M6313 2017</t>
  </si>
  <si>
    <t>https://ebookcentral.proquest.com/lib/cam/detail.action?docID=4648084</t>
  </si>
  <si>
    <t>The Subject of Freedom : Kant, Levinas</t>
  </si>
  <si>
    <t>123/.5</t>
  </si>
  <si>
    <t>BF575.A88 -- .B378 2015eb</t>
  </si>
  <si>
    <t>https://ebookcentral.proquest.com/lib/cam/detail.action?docID=3239974</t>
  </si>
  <si>
    <t>Mathematics of Language : Proceedings of a conference held at the University of Michigan, Ann Arbor, October 1984</t>
  </si>
  <si>
    <t>410/.1/51</t>
  </si>
  <si>
    <t>P138 -- .M36 1984eb</t>
  </si>
  <si>
    <t>https://ebookcentral.proquest.com/lib/cam/detail.action?docID=842937</t>
  </si>
  <si>
    <t>Fear, Space and Urban Planning : A Critical Perspective from Southern Europe</t>
  </si>
  <si>
    <t>https://ebookcentral.proquest.com/lib/cam/detail.action?docID=4614820</t>
  </si>
  <si>
    <t>Golden Cables of Sympathy : The Transatlantic Sources of Nineteenth-Century Feminism</t>
  </si>
  <si>
    <t>305.42/09/034</t>
  </si>
  <si>
    <t>HQ1154 -- .M3965 2009eb</t>
  </si>
  <si>
    <t>https://ebookcentral.proquest.com/lib/cam/detail.action?docID=1914996</t>
  </si>
  <si>
    <t>Exploring the World of J. S. Bach : A Traveler's Guide</t>
  </si>
  <si>
    <t>https://ebookcentral.proquest.com/lib/cam/detail.action?docID=4443533</t>
  </si>
  <si>
    <t>Czech Feminisms : Perspectives on Gender in East Central Europe</t>
  </si>
  <si>
    <t>HQ1610.3.C94 2016</t>
  </si>
  <si>
    <t>https://ebookcentral.proquest.com/lib/cam/detail.action?docID=4674262</t>
  </si>
  <si>
    <t>Heidegger and Practical Philosophy</t>
  </si>
  <si>
    <t>B3279.H49 -- H345 2002eb</t>
  </si>
  <si>
    <t>https://ebookcentral.proquest.com/lib/cam/detail.action?docID=3407960</t>
  </si>
  <si>
    <t>Chances for Peace : Missed Opportunities in the Arab-Israeli Conflict</t>
  </si>
  <si>
    <t>976.4/05092 B</t>
  </si>
  <si>
    <t>E628.T66 2016</t>
  </si>
  <si>
    <t>https://ebookcentral.proquest.com/lib/cam/detail.action?docID=4397268</t>
  </si>
  <si>
    <t>Tender Is the Night and F. Scott Fitzgerald's Sentimental Identities</t>
  </si>
  <si>
    <t>https://ebookcentral.proquest.com/lib/cam/detail.action?docID=1866478</t>
  </si>
  <si>
    <t>Monumentality in Etruscan and Early Roman Architecture : Ideology and Innovation</t>
  </si>
  <si>
    <t>722/.7</t>
  </si>
  <si>
    <t>NA300 -- .M66 2012eb</t>
  </si>
  <si>
    <t>https://ebookcentral.proquest.com/lib/cam/detail.action?docID=3443691</t>
  </si>
  <si>
    <t>The Rise of Constitutional Government in the Iberian Atlantic World : The Impact of the Cádiz Constitution Of 1812</t>
  </si>
  <si>
    <t>342/.11246</t>
  </si>
  <si>
    <t>KG546</t>
  </si>
  <si>
    <t>https://ebookcentral.proquest.com/lib/cam/detail.action?docID=2046416</t>
  </si>
  <si>
    <t>Freedom's Frontier : California and the Struggle over Unfree Labor, Emancipation, and Reconstruction</t>
  </si>
  <si>
    <t>HD4875.U5 -- S525 2013eb</t>
  </si>
  <si>
    <t>https://ebookcentral.proquest.com/lib/cam/detail.action?docID=1220632</t>
  </si>
  <si>
    <t>Bad Seeds and Holy Terrors : The Child Villains of Horror Film</t>
  </si>
  <si>
    <t>791.43/6164</t>
  </si>
  <si>
    <t>PN1995.9.H6 -- .L466 2014eb</t>
  </si>
  <si>
    <t>https://ebookcentral.proquest.com/lib/cam/detail.action?docID=3408942</t>
  </si>
  <si>
    <t>The Working Man's Green Space : Allotment Gardens in England, France, and Germany, 1870-1919</t>
  </si>
  <si>
    <t>SB457.3.N55 2013</t>
  </si>
  <si>
    <t>https://ebookcentral.proquest.com/lib/cam/detail.action?docID=3444147</t>
  </si>
  <si>
    <t>The Governors-General : The English Army and the Definition of the Empire, 1569-1681</t>
  </si>
  <si>
    <t>325/.31/0941</t>
  </si>
  <si>
    <t>JV1061.W4</t>
  </si>
  <si>
    <t>https://ebookcentral.proquest.com/lib/cam/detail.action?docID=4322200</t>
  </si>
  <si>
    <t>The Practice of Piety : Puritan Devotional Disciplines in Seventeenth-Century New England</t>
  </si>
  <si>
    <t>BV4490 -- .H363 1982eb</t>
  </si>
  <si>
    <t>https://ebookcentral.proquest.com/lib/cam/detail.action?docID=4322187</t>
  </si>
  <si>
    <t>The World, the Flesh and the Devil : The Life and Opinions of Samuel Marsden in England and the Antipodes, 1765–1838</t>
  </si>
  <si>
    <t>BX5197.S537 2016</t>
  </si>
  <si>
    <t>https://ebookcentral.proquest.com/lib/cam/detail.action?docID=4781547</t>
  </si>
  <si>
    <t>American Railroads : Decline and Renaissance in the Twentieth Century</t>
  </si>
  <si>
    <t>385.0973/0904</t>
  </si>
  <si>
    <t>HE2751</t>
  </si>
  <si>
    <t>https://ebookcentral.proquest.com/lib/cam/detail.action?docID=3301476</t>
  </si>
  <si>
    <t>Our Search with Socrates for Moral Truth</t>
  </si>
  <si>
    <t>B398</t>
  </si>
  <si>
    <t>https://ebookcentral.proquest.com/lib/cam/detail.action?docID=4412727</t>
  </si>
  <si>
    <t>Research to Revenue : A Practical Guide to University Start-Ups</t>
  </si>
  <si>
    <t>658.1/1</t>
  </si>
  <si>
    <t>HD62.5.R67 2016</t>
  </si>
  <si>
    <t>https://ebookcentral.proquest.com/lib/cam/detail.action?docID=4322262</t>
  </si>
  <si>
    <t>The Poetry of Personality : The Poetic Diction of Dylan Thomas</t>
  </si>
  <si>
    <t>PR6039.H52 -- Z6675 2015eb</t>
  </si>
  <si>
    <t>https://ebookcentral.proquest.com/lib/cam/detail.action?docID=1911840</t>
  </si>
  <si>
    <t>Understanding Roberto Bolaño</t>
  </si>
  <si>
    <t>863/.64</t>
  </si>
  <si>
    <t>PQ8098.12.O38.G885 2016</t>
  </si>
  <si>
    <t>https://ebookcentral.proquest.com/lib/cam/detail.action?docID=4411314</t>
  </si>
  <si>
    <t>Decreation and the Ethical Bind : Simone Weil and the Claim of the Other</t>
  </si>
  <si>
    <t>B2430.W474.C43 2017eb</t>
  </si>
  <si>
    <t>https://ebookcentral.proquest.com/lib/cam/detail.action?docID=4851298</t>
  </si>
  <si>
    <t>The Bernal Story : Mediating Class and Race in a Multicultural Community</t>
  </si>
  <si>
    <t>307.1/40979461</t>
  </si>
  <si>
    <t>HN80.S4.R69 2014eb</t>
  </si>
  <si>
    <t>https://ebookcentral.proquest.com/lib/cam/detail.action?docID=3410195</t>
  </si>
  <si>
    <t>TV-Hero(in)es of Boys and Girls : Reception Studies of Favorite Characters</t>
  </si>
  <si>
    <t>HQ784.T4 -- G68 2014eb</t>
  </si>
  <si>
    <t>https://ebookcentral.proquest.com/lib/cam/detail.action?docID=1689174</t>
  </si>
  <si>
    <t>Twilight of the Belle Epoque : The Paris of Picasso, Stravinsky, Proust, Renault, Marie Curie, Gertrude Stein, and Their Friends through the Great War</t>
  </si>
  <si>
    <t>DC735 -- .M44 2014eb</t>
  </si>
  <si>
    <t>https://ebookcentral.proquest.com/lib/cam/detail.action?docID=1655576</t>
  </si>
  <si>
    <t>Antiracism in Cuba : The Unfinished Revolution</t>
  </si>
  <si>
    <t>F1789.A1B46 2016</t>
  </si>
  <si>
    <t>https://ebookcentral.proquest.com/lib/cam/detail.action?docID=4443608</t>
  </si>
  <si>
    <t>Bored to Distraction : Cinema of Excess in End-Of-the-Century Mexico and Spain</t>
  </si>
  <si>
    <t>791.43/0972</t>
  </si>
  <si>
    <t>PN1993.5.M4 -- S32 2003eb</t>
  </si>
  <si>
    <t>https://ebookcentral.proquest.com/lib/cam/detail.action?docID=3408462</t>
  </si>
  <si>
    <t>Introduction to Documentary, Third Edition</t>
  </si>
  <si>
    <t>Fine Arts; Journalism</t>
  </si>
  <si>
    <t>PN1995.9.D6.N539 2017eb</t>
  </si>
  <si>
    <t>https://ebookcentral.proquest.com/lib/cam/detail.action?docID=4813367</t>
  </si>
  <si>
    <t>The Learned Ones : Nahua Intellectuals in Postconquest Mexico</t>
  </si>
  <si>
    <t>897/.45</t>
  </si>
  <si>
    <t>PM4068</t>
  </si>
  <si>
    <t>https://ebookcentral.proquest.com/lib/cam/detail.action?docID=3411887</t>
  </si>
  <si>
    <t>Piers Plowman and the Poetics of Enigma : Riddles, Rhetoric, and Theology</t>
  </si>
  <si>
    <t>821/.1</t>
  </si>
  <si>
    <t>PR2017.A53</t>
  </si>
  <si>
    <t>https://ebookcentral.proquest.com/lib/cam/detail.action?docID=4731623</t>
  </si>
  <si>
    <t>Life Support : Biocapital and the New History of Outsourced Labor</t>
  </si>
  <si>
    <t>HD9999.B443</t>
  </si>
  <si>
    <t>https://ebookcentral.proquest.com/lib/cam/detail.action?docID=2050512</t>
  </si>
  <si>
    <t>Why Haiti Needs New Narratives : A Post-Quake Chronicle</t>
  </si>
  <si>
    <t>972.9407/3</t>
  </si>
  <si>
    <t>HV600.H2 -- .U48 2015eb</t>
  </si>
  <si>
    <t>https://ebookcentral.proquest.com/lib/cam/detail.action?docID=1844186</t>
  </si>
  <si>
    <t>The Vietnam War : A Study in the Making of American Policy</t>
  </si>
  <si>
    <t>DS558.S85 1985eb</t>
  </si>
  <si>
    <t>https://ebookcentral.proquest.com/lib/cam/detail.action?docID=1915912</t>
  </si>
  <si>
    <t>The Far Reaches : Phenomenology, Ethics, and Social Renewal in Central Europe</t>
  </si>
  <si>
    <t>BJ324</t>
  </si>
  <si>
    <t>https://ebookcentral.proquest.com/lib/cam/detail.action?docID=1728035</t>
  </si>
  <si>
    <t>George Herbert and Post-phenomenology : A Gift for Our Times</t>
  </si>
  <si>
    <t>PR3507.T43 -- .G79 2016eb</t>
  </si>
  <si>
    <t>https://ebookcentral.proquest.com/lib/cam/detail.action?docID=4526551</t>
  </si>
  <si>
    <t>The Early Heidegger and Medieval Philosophy : Phenomenology for the Godforsaken</t>
  </si>
  <si>
    <t>B3279</t>
  </si>
  <si>
    <t>https://ebookcentral.proquest.com/lib/cam/detail.action?docID=3134744</t>
  </si>
  <si>
    <t>Adventures in Phenomenology : Gaston Bachelard</t>
  </si>
  <si>
    <t>B2430.B254.A38 2017</t>
  </si>
  <si>
    <t>https://ebookcentral.proquest.com/lib/cam/detail.action?docID=4938754</t>
  </si>
  <si>
    <t>The Art and Science of Personality Development</t>
  </si>
  <si>
    <t>155.2/5</t>
  </si>
  <si>
    <t>BF698 -- .M347 2015eb</t>
  </si>
  <si>
    <t>https://ebookcentral.proquest.com/lib/cam/detail.action?docID=1821089</t>
  </si>
  <si>
    <t>The Yearbook on History and Interpretation of Phenomenology 2014 : Normativity &amp; Typification</t>
  </si>
  <si>
    <t>B829.5 -- .Y43 2015eb</t>
  </si>
  <si>
    <t>https://ebookcentral.proquest.com/lib/cam/detail.action?docID=1920232</t>
  </si>
  <si>
    <t>Nomadic Text : A Theory of Biblical Reception History</t>
  </si>
  <si>
    <t>BS511.3.B74 2014eb</t>
  </si>
  <si>
    <t>https://ebookcentral.proquest.com/lib/cam/detail.action?docID=1672951</t>
  </si>
  <si>
    <t>English Renaissance Literature and Contemporary Theory : Sublime Objects of Theology</t>
  </si>
  <si>
    <t>https://ebookcentral.proquest.com/lib/cam/detail.action?docID=361624</t>
  </si>
  <si>
    <t>Television Histories : Shaping Collective Memory in the Media Age</t>
  </si>
  <si>
    <t>791.45/658</t>
  </si>
  <si>
    <t>PN1992.56 -- .T454 2001eb</t>
  </si>
  <si>
    <t>https://ebookcentral.proquest.com/lib/cam/detail.action?docID=1915302</t>
  </si>
  <si>
    <t>Cognitive Approaches to German Historical Film : Seeing Is Not Believing</t>
  </si>
  <si>
    <t>https://ebookcentral.proquest.com/lib/cam/detail.action?docID=4766007</t>
  </si>
  <si>
    <t>Unexpected Alliances : Independent Filmmakers, the State, and the Film Industry in Postauthoritarian South Korea</t>
  </si>
  <si>
    <t>https://ebookcentral.proquest.com/lib/cam/detail.action?docID=1775732</t>
  </si>
  <si>
    <t>The Maciste Films of Italian Silent Cinema</t>
  </si>
  <si>
    <t>791.430945/0904</t>
  </si>
  <si>
    <t>PN1993.5.I88 .R453 2015</t>
  </si>
  <si>
    <t>https://ebookcentral.proquest.com/lib/cam/detail.action?docID=2198303</t>
  </si>
  <si>
    <t>The Vegan Studies Project : Food, Animals, and Gender in the Age of Terror</t>
  </si>
  <si>
    <t>GT2850 -- .W745 2015eb</t>
  </si>
  <si>
    <t>https://ebookcentral.proquest.com/lib/cam/detail.action?docID=4397165</t>
  </si>
  <si>
    <t>Children's Literature of the English Renaissance</t>
  </si>
  <si>
    <t>820/.9/9282</t>
  </si>
  <si>
    <t>PR990.W6 1986eb</t>
  </si>
  <si>
    <t>https://ebookcentral.proquest.com/lib/cam/detail.action?docID=1915918</t>
  </si>
  <si>
    <t>New Trends in Children's Literature Research : Twenty-first Century Approaches (2000-2012) from the University of Vigo (Spain)</t>
  </si>
  <si>
    <t>PN1009.5.T75 -- .N49 2014eb</t>
  </si>
  <si>
    <t>https://ebookcentral.proquest.com/lib/cam/detail.action?docID=1766363</t>
  </si>
  <si>
    <t>Sugar and Civilization : American Empire and the Cultural Politics of Sweetness</t>
  </si>
  <si>
    <t>338.4/7664150973</t>
  </si>
  <si>
    <t>HD9106 -- .M46 2015eb</t>
  </si>
  <si>
    <t>https://ebookcentral.proquest.com/lib/cam/detail.action?docID=3571157</t>
  </si>
  <si>
    <t>The Shi'ites of Lebanon : Modernism, Communism, and Hizbullah's Islamists</t>
  </si>
  <si>
    <t>DS80.55.S54A25 2014</t>
  </si>
  <si>
    <t>https://ebookcentral.proquest.com/lib/cam/detail.action?docID=4649174</t>
  </si>
  <si>
    <t>Sanskrit Debate : Vasubandhu’s "Vīmśatikā" versus Kumārila’s "Nirālambanavāda"</t>
  </si>
  <si>
    <t>B132.C6 -- .A454 2015eb</t>
  </si>
  <si>
    <t>https://ebookcentral.proquest.com/lib/cam/detail.action?docID=1987219</t>
  </si>
  <si>
    <t>The Shape of Fear : Horror and the Fin de Siècle Culture of Decadence</t>
  </si>
  <si>
    <t>PR878.T3.N38 1998eb</t>
  </si>
  <si>
    <t>https://ebookcentral.proquest.com/lib/cam/detail.action?docID=1915316</t>
  </si>
  <si>
    <t>The Correspondence of Washington Allston</t>
  </si>
  <si>
    <t>759.13 B</t>
  </si>
  <si>
    <t>NX512.A513.C677 199</t>
  </si>
  <si>
    <t>https://ebookcentral.proquest.com/lib/cam/detail.action?docID=1915651</t>
  </si>
  <si>
    <t>Selling the Serengeti : The Cultural Politics of Safari Tourism</t>
  </si>
  <si>
    <t>305.896/5</t>
  </si>
  <si>
    <t>DT443.3.M37G37 2016</t>
  </si>
  <si>
    <t>https://ebookcentral.proquest.com/lib/cam/detail.action?docID=4397159</t>
  </si>
  <si>
    <t>Isotopias : Places and Spaces in French War Fiction of the Twentieth and Twenty-First Centuries</t>
  </si>
  <si>
    <t>PQ671 -- .T36 2015eb</t>
  </si>
  <si>
    <t>https://ebookcentral.proquest.com/lib/cam/detail.action?docID=3565101</t>
  </si>
  <si>
    <t>Writings Against the Saracens : Peter the Venerable</t>
  </si>
  <si>
    <t>BP172</t>
  </si>
  <si>
    <t>https://ebookcentral.proquest.com/lib/cam/detail.action?docID=4592429</t>
  </si>
  <si>
    <t>La Cazzaria : The Book of the Prick</t>
  </si>
  <si>
    <t>PQ4664.V63</t>
  </si>
  <si>
    <t>https://ebookcentral.proquest.com/lib/cam/detail.action?docID=1683671</t>
  </si>
  <si>
    <t>The Philosophy of War Films</t>
  </si>
  <si>
    <t>PN1995.9.W3 -- P55 2014eb</t>
  </si>
  <si>
    <t>https://ebookcentral.proquest.com/lib/cam/detail.action?docID=1869117</t>
  </si>
  <si>
    <t>Examining Mental Health Through Social Constructionism : The Language of Mental Health</t>
  </si>
  <si>
    <t>Psychology; Social Science; Health</t>
  </si>
  <si>
    <t>https://ebookcentral.proquest.com/lib/cam/detail.action?docID=5061512</t>
  </si>
  <si>
    <t>The Image of God in the Garden of Eden : The Creation of Humankind in Genesis 2:5-3:24 in Light of the mis pi pit pi and wpt-r Rituals of Mesopotamia and Ancient Egypt</t>
  </si>
  <si>
    <t>222/.1106</t>
  </si>
  <si>
    <t>BS651 -- .M336 2015eb</t>
  </si>
  <si>
    <t>https://ebookcentral.proquest.com/lib/cam/detail.action?docID=3426092</t>
  </si>
  <si>
    <t>Vico's New Science of the Intersubjective World</t>
  </si>
  <si>
    <t>B3581.P73.H671 2016</t>
  </si>
  <si>
    <t>https://ebookcentral.proquest.com/lib/cam/detail.action?docID=4525783</t>
  </si>
  <si>
    <t>The Critical Thinking Toolkit</t>
  </si>
  <si>
    <t>BC177.F674 2017</t>
  </si>
  <si>
    <t>https://ebookcentral.proquest.com/lib/cam/detail.action?docID=4538252</t>
  </si>
  <si>
    <t>History Within : The Science, Culture, and Politics of Bones, Organisms, and Molecules</t>
  </si>
  <si>
    <t>Science: General; Science: Biology/Natural History; Science</t>
  </si>
  <si>
    <t>QH15</t>
  </si>
  <si>
    <t>https://ebookcentral.proquest.com/lib/cam/detail.action?docID=4437728</t>
  </si>
  <si>
    <t>The Sino-Soviet Alliance : An International History</t>
  </si>
  <si>
    <t>DS740.5.S65.J47 201</t>
  </si>
  <si>
    <t>https://ebookcentral.proquest.com/lib/cam/detail.action?docID=1663536</t>
  </si>
  <si>
    <t>Help or Harm : The Human Security Effects of International NGOs</t>
  </si>
  <si>
    <t>361.7/7</t>
  </si>
  <si>
    <t>JZ4841+</t>
  </si>
  <si>
    <t>https://ebookcentral.proquest.com/lib/cam/detail.action?docID=1770082</t>
  </si>
  <si>
    <t>Time in Feminist Phenomenology</t>
  </si>
  <si>
    <t>BD638 -- .T564 2011eb</t>
  </si>
  <si>
    <t>https://ebookcentral.proquest.com/lib/cam/detail.action?docID=713694</t>
  </si>
  <si>
    <t>Social Phenomenology : Husserl, Intersubjectivity, and Collective Intentionality</t>
  </si>
  <si>
    <t>B3279.H94 -- C445 2013eb</t>
  </si>
  <si>
    <t>https://ebookcentral.proquest.com/lib/cam/detail.action?docID=1117176</t>
  </si>
  <si>
    <t>Aesthetics As Phenomenology : The Appearance of Things</t>
  </si>
  <si>
    <t>BH39 -- .F47813 2015eb</t>
  </si>
  <si>
    <t>https://ebookcentral.proquest.com/lib/cam/detail.action?docID=1953308</t>
  </si>
  <si>
    <t>The Yearbook on History and Interpretation of Phenomenology 2013 : Person – Subject – Organism- An Overview of Interdisciplinary Insights</t>
  </si>
  <si>
    <t>B829.5 -- .Y43 2014eb</t>
  </si>
  <si>
    <t>https://ebookcentral.proquest.com/lib/cam/detail.action?docID=1666241</t>
  </si>
  <si>
    <t>The Yearbook on History and Interpretation of Phenomenology 2015 : New Generative Aspects in Contemporary Phenomenology</t>
  </si>
  <si>
    <t>B829.5.A1</t>
  </si>
  <si>
    <t>https://ebookcentral.proquest.com/lib/cam/detail.action?docID=4188573</t>
  </si>
  <si>
    <t>The Best of New York Archives : Selections from the Magazine, 2001-2011</t>
  </si>
  <si>
    <t>F119.5.N49 2017</t>
  </si>
  <si>
    <t>https://ebookcentral.proquest.com/lib/cam/detail.action?docID=4825020</t>
  </si>
  <si>
    <t>The Early Anglo-Saxon Kingdoms of Southern Britain AD 450-650 : Beneath the Tribal Hidage</t>
  </si>
  <si>
    <t>Oxbow Books</t>
  </si>
  <si>
    <t>942.01/4</t>
  </si>
  <si>
    <t>DA152 -- .H274 2014eb</t>
  </si>
  <si>
    <t>https://ebookcentral.proquest.com/lib/cam/detail.action?docID=1925177</t>
  </si>
  <si>
    <t>Dark Ecology : For a Logic of Future Coexistence</t>
  </si>
  <si>
    <t>Philosophy; Environmental Studies</t>
  </si>
  <si>
    <t>GF75.M685 2016eb</t>
  </si>
  <si>
    <t>https://ebookcentral.proquest.com/lib/cam/detail.action?docID=4427983</t>
  </si>
  <si>
    <t>Philosophy, Crime, and Criminology : Philosophy, Crime, and Criminology</t>
  </si>
  <si>
    <t>HV6025</t>
  </si>
  <si>
    <t>https://ebookcentral.proquest.com/lib/cam/detail.action?docID=3414209</t>
  </si>
  <si>
    <t>A Great Undertaking : Mechanization and Social Change in a Late Imperial Chinese Coalmining Community</t>
  </si>
  <si>
    <t>338.2/7240951222</t>
  </si>
  <si>
    <t>HD9556.C53 -- .H676 2015eb</t>
  </si>
  <si>
    <t>https://ebookcentral.proquest.com/lib/cam/detail.action?docID=3409036</t>
  </si>
  <si>
    <t>Afro-Paradise : Blackness, Violence, and Performance in Brazil</t>
  </si>
  <si>
    <t>305.896/08142</t>
  </si>
  <si>
    <t>F2651</t>
  </si>
  <si>
    <t>https://ebookcentral.proquest.com/lib/cam/detail.action?docID=4401391</t>
  </si>
  <si>
    <t>A Pedagogy of Anticapitalist Antiracism : Whiteness, Neoliberalism, and Resistance in Education</t>
  </si>
  <si>
    <t>LB2825.C327 2016</t>
  </si>
  <si>
    <t>https://ebookcentral.proquest.com/lib/cam/detail.action?docID=4728046</t>
  </si>
  <si>
    <t>The Case of Mistress Mary Hampson : Her Story of Marital Abuse and Defiance in Seventeenth-Century England</t>
  </si>
  <si>
    <t>942.06092 B</t>
  </si>
  <si>
    <t>CT788</t>
  </si>
  <si>
    <t>https://ebookcentral.proquest.com/lib/cam/detail.action?docID=1605226</t>
  </si>
  <si>
    <t>War's Ends : Human Rights, International Order, and the Ethics of Peace</t>
  </si>
  <si>
    <t>U21.2 -- .M877 2014eb</t>
  </si>
  <si>
    <t>https://ebookcentral.proquest.com/lib/cam/detail.action?docID=1610056</t>
  </si>
  <si>
    <t>Jazz Religion, the Second Line, and Black New Orleans, New Edition : After Hurricane Katrina</t>
  </si>
  <si>
    <t>ML3921.8.J39.T87 2017</t>
  </si>
  <si>
    <t>https://ebookcentral.proquest.com/lib/cam/detail.action?docID=4721493</t>
  </si>
  <si>
    <t>Deafening Modernism : Embodied Language and Visual Poetics in American Literature</t>
  </si>
  <si>
    <t>PS228.M63S26 2015</t>
  </si>
  <si>
    <t>https://ebookcentral.proquest.com/lib/cam/detail.action?docID=4004175</t>
  </si>
  <si>
    <t>Aspects of Anglo-Saxon and Medieval England</t>
  </si>
  <si>
    <t>PR173 -- .A87 2014eb</t>
  </si>
  <si>
    <t>https://ebookcentral.proquest.com/lib/cam/detail.action?docID=1815669</t>
  </si>
  <si>
    <t>The Homilies of Saint Jerome, Volume 1 (1-59 on the Psalms)</t>
  </si>
  <si>
    <t>BR60</t>
  </si>
  <si>
    <t>https://ebookcentral.proquest.com/lib/cam/detail.action?docID=3134848</t>
  </si>
  <si>
    <t>A History of the Concept of God : A Process Approach</t>
  </si>
  <si>
    <t>BT98.D566 2016</t>
  </si>
  <si>
    <t>https://ebookcentral.proquest.com/lib/cam/detail.action?docID=4396638</t>
  </si>
  <si>
    <t>Land Too Good for Indians : Northern Indian Removal</t>
  </si>
  <si>
    <t>E98.R4 -- .B694 2016eb</t>
  </si>
  <si>
    <t>https://ebookcentral.proquest.com/lib/cam/detail.action?docID=4526682</t>
  </si>
  <si>
    <t>Living Alterities : Phenomenology, Embodiment, and Race</t>
  </si>
  <si>
    <t>B829.5.L563 2014eb</t>
  </si>
  <si>
    <t>https://ebookcentral.proquest.com/lib/cam/detail.action?docID=3408856</t>
  </si>
  <si>
    <t>Merleau-Ponty and the Face of the World : Silence, Ethics, Imagination, and Poetic Ontology</t>
  </si>
  <si>
    <t>B2430.M3764.M395 2016</t>
  </si>
  <si>
    <t>https://ebookcentral.proquest.com/lib/cam/detail.action?docID=4694641</t>
  </si>
  <si>
    <t>Merleau-Ponty and the Art of Perception</t>
  </si>
  <si>
    <t>B2430.M3764 -- .M475 2016eb</t>
  </si>
  <si>
    <t>https://ebookcentral.proquest.com/lib/cam/detail.action?docID=4442176</t>
  </si>
  <si>
    <t>Time, Memory, Institution : Merleau-Ponty's New Ontology of Self</t>
  </si>
  <si>
    <t>B2430.M3764 -- .T56 2015eb</t>
  </si>
  <si>
    <t>https://ebookcentral.proquest.com/lib/cam/detail.action?docID=2006052</t>
  </si>
  <si>
    <t>Dissident Friendships : Feminism, Imperialism, and Transnational Solidarity</t>
  </si>
  <si>
    <t>HQ1236</t>
  </si>
  <si>
    <t>https://ebookcentral.proquest.com/lib/cam/detail.action?docID=4792704</t>
  </si>
  <si>
    <t>The Counter-Revolution of 1776 : Slave Resistance and the Origins of the United States of America</t>
  </si>
  <si>
    <t>E446.H676 2014eb</t>
  </si>
  <si>
    <t>https://ebookcentral.proquest.com/lib/cam/detail.action?docID=1657764</t>
  </si>
  <si>
    <t>Dead Pledges : Debt, Crisis, and Twenty-First-Century Culture</t>
  </si>
  <si>
    <t>Literature; Business/Management</t>
  </si>
  <si>
    <t>HG3756</t>
  </si>
  <si>
    <t>https://ebookcentral.proquest.com/lib/cam/detail.action?docID=4714051</t>
  </si>
  <si>
    <t>Faith in Black Power : Religion, Race, and Resistance in Cairo, Illinois</t>
  </si>
  <si>
    <t>F549.C2.P563 2017</t>
  </si>
  <si>
    <t>https://ebookcentral.proquest.com/lib/cam/detail.action?docID=4755373</t>
  </si>
  <si>
    <t>Thailand's Theory of Monarchy : The Vessantara Jataka and the Idea of the Perfect Man</t>
  </si>
  <si>
    <t>JQ1746.J67 2016</t>
  </si>
  <si>
    <t>https://ebookcentral.proquest.com/lib/cam/detail.action?docID=4528794</t>
  </si>
  <si>
    <t>Wombs with a View : Illustrations of the Gravid Uterus from the Renaissance Through the Nineteenth Century</t>
  </si>
  <si>
    <t>Medicine; Science</t>
  </si>
  <si>
    <t>https://ebookcentral.proquest.com/lib/cam/detail.action?docID=4527880</t>
  </si>
  <si>
    <t>Death in Modern Scotland, 1855–1955 : Beliefs, Attitudes and Practices</t>
  </si>
  <si>
    <t>HQ1073.5.G7 -- .D438 2016eb</t>
  </si>
  <si>
    <t>https://ebookcentral.proquest.com/lib/cam/detail.action?docID=4526524</t>
  </si>
  <si>
    <t>Persian Letters : With Related Texts</t>
  </si>
  <si>
    <t>PQ2011.L5 E57 2014</t>
  </si>
  <si>
    <t>https://ebookcentral.proquest.com/lib/cam/detail.action?docID=1773431</t>
  </si>
  <si>
    <t>Entangled Geographies : Empire and Technopolitics in the Global Cold War</t>
  </si>
  <si>
    <t>325/.309045</t>
  </si>
  <si>
    <t>D843 -- .E58 2011eb</t>
  </si>
  <si>
    <t>https://ebookcentral.proquest.com/lib/cam/detail.action?docID=3339252</t>
  </si>
  <si>
    <t>The New Mutants : Superheroes and the Radical Imagination of American Comics</t>
  </si>
  <si>
    <t>741.5/973</t>
  </si>
  <si>
    <t>PN6725.F37 2015</t>
  </si>
  <si>
    <t>https://ebookcentral.proquest.com/lib/cam/detail.action?docID=4004155</t>
  </si>
  <si>
    <t>The Second Line of Defense : American Women and World War I</t>
  </si>
  <si>
    <t>940.3082/0973</t>
  </si>
  <si>
    <t>D639.W7.D864 2017</t>
  </si>
  <si>
    <t>https://ebookcentral.proquest.com/lib/cam/detail.action?docID=4801080</t>
  </si>
  <si>
    <t>Women and the French Army During the World Wars, 1914-1940</t>
  </si>
  <si>
    <t>D639.W7.O77 2017</t>
  </si>
  <si>
    <t>https://ebookcentral.proquest.com/lib/cam/detail.action?docID=4900807</t>
  </si>
  <si>
    <t>Making the Unipolar Moment : U.S. Foreign Policy and the Rise of the Post-Cold War Order</t>
  </si>
  <si>
    <t>327.73009/04</t>
  </si>
  <si>
    <t>E872</t>
  </si>
  <si>
    <t>https://ebookcentral.proquest.com/lib/cam/detail.action?docID=4533735</t>
  </si>
  <si>
    <t>Mothers and Daughters in Nineteenth-Century America : The Biosocial Construction of Femininity</t>
  </si>
  <si>
    <t>HQ1418.T53 1996eb</t>
  </si>
  <si>
    <t>https://ebookcentral.proquest.com/lib/cam/detail.action?docID=1915246</t>
  </si>
  <si>
    <t>Islam's Jesus</t>
  </si>
  <si>
    <t>BP134.J37.S27 2014eb</t>
  </si>
  <si>
    <t>https://ebookcentral.proquest.com/lib/cam/detail.action?docID=1676369</t>
  </si>
  <si>
    <t>Robinson Jeffers : Poet and Prophet</t>
  </si>
  <si>
    <t>811/.52 B</t>
  </si>
  <si>
    <t>https://ebookcentral.proquest.com/lib/cam/detail.action?docID=3568952</t>
  </si>
  <si>
    <t>Institutional Racism in Psychiatry and Clinical Psychology : Race Matters in Mental Health</t>
  </si>
  <si>
    <t>Medicine; History</t>
  </si>
  <si>
    <t>https://ebookcentral.proquest.com/lib/cam/detail.action?docID=5042239</t>
  </si>
  <si>
    <t>The Mulatta Concubine : Terror, Intimacy, Freedom, and Desire in the Black Transatlantic</t>
  </si>
  <si>
    <t>HQ1410 -- .W56 2016eb</t>
  </si>
  <si>
    <t>https://ebookcentral.proquest.com/lib/cam/detail.action?docID=4397173</t>
  </si>
  <si>
    <t>Emotions, Technology, and Behaviors</t>
  </si>
  <si>
    <t>Social Science; Computer Science/IT</t>
  </si>
  <si>
    <t>QA76.9.H85.E468 2016</t>
  </si>
  <si>
    <t>https://ebookcentral.proquest.com/lib/cam/detail.action?docID=4054883</t>
  </si>
  <si>
    <t>The Poetics of Conflict Experience : Materiality and Embodiment in Second World War Italy</t>
  </si>
  <si>
    <t>PQ4053.W37.D4 2017</t>
  </si>
  <si>
    <t>https://ebookcentral.proquest.com/lib/cam/detail.action?docID=4748637</t>
  </si>
  <si>
    <t>Internationalism, National Identities, and Study Abroad : France and the United States, 1890-1970</t>
  </si>
  <si>
    <t>370.116/20944</t>
  </si>
  <si>
    <t>LB2376</t>
  </si>
  <si>
    <t>https://ebookcentral.proquest.com/lib/cam/detail.action?docID=537861</t>
  </si>
  <si>
    <t>Exploring History : British Culture and Society 1700 to the Present – Essays in Honour of Professor Emma Harris</t>
  </si>
  <si>
    <t>DA110 -- .E975 2015eb</t>
  </si>
  <si>
    <t>https://ebookcentral.proquest.com/lib/cam/detail.action?docID=4012315</t>
  </si>
  <si>
    <t>Ancient and Medieval Concepts of Friendship</t>
  </si>
  <si>
    <t>177/.6209</t>
  </si>
  <si>
    <t>B187.F75 -- A53 2014eb</t>
  </si>
  <si>
    <t>https://ebookcentral.proquest.com/lib/cam/detail.action?docID=3408967</t>
  </si>
  <si>
    <t>The Development of American Citizenship, 1608-1870</t>
  </si>
  <si>
    <t>JK1814 -- .K488 1978eb</t>
  </si>
  <si>
    <t>https://ebookcentral.proquest.com/lib/cam/detail.action?docID=4322191</t>
  </si>
  <si>
    <t>Between Dispersion and Belonging : Global Approaches to Diaspora in Practice</t>
  </si>
  <si>
    <t>GF41.B489 2016</t>
  </si>
  <si>
    <t>https://ebookcentral.proquest.com/lib/cam/detail.action?docID=4730783</t>
  </si>
  <si>
    <t>Fashionable Queens : Body – Power – Gender</t>
  </si>
  <si>
    <t>HQ1236 -- .F37 2014eb</t>
  </si>
  <si>
    <t>https://ebookcentral.proquest.com/lib/cam/detail.action?docID=1752966</t>
  </si>
  <si>
    <t>God's Rascal : J. Frank Norris and the Beginnings of Southern Fundamentalism</t>
  </si>
  <si>
    <t>BX6495.N59 -- .H36 2010eb</t>
  </si>
  <si>
    <t>https://ebookcentral.proquest.com/lib/cam/detail.action?docID=1914994</t>
  </si>
  <si>
    <t>Meanings of Jazz in State Socialism</t>
  </si>
  <si>
    <t>781.650947/09045</t>
  </si>
  <si>
    <t>ML3916.M385 2015</t>
  </si>
  <si>
    <t>https://ebookcentral.proquest.com/lib/cam/detail.action?docID=4088519</t>
  </si>
  <si>
    <t>The History of Science Fiction</t>
  </si>
  <si>
    <t>Business/Management; Literature; Fiction</t>
  </si>
  <si>
    <t>https://ebookcentral.proquest.com/lib/cam/detail.action?docID=4719933</t>
  </si>
  <si>
    <t>Eblaitica : Essays on the Ebla Archives and Eblaite Language</t>
  </si>
  <si>
    <t>DS99.E25 -- E87 2002eb</t>
  </si>
  <si>
    <t>https://ebookcentral.proquest.com/lib/cam/detail.action?docID=3155560</t>
  </si>
  <si>
    <t>Digital Humanitarians : How Big Data Is Changing the Face of Humanitarian Response</t>
  </si>
  <si>
    <t>Computer Science/IT; Social Science</t>
  </si>
  <si>
    <t>QA76.9.D343 -- .M454 2015eb</t>
  </si>
  <si>
    <t>https://ebookcentral.proquest.com/lib/cam/detail.action?docID=1753443</t>
  </si>
  <si>
    <t>Essays on the Foundations of Ethics</t>
  </si>
  <si>
    <t>B945.L451.L495 2017</t>
  </si>
  <si>
    <t>https://ebookcentral.proquest.com/lib/cam/detail.action?docID=4875012</t>
  </si>
  <si>
    <t>Rebranding Islam : Piety, Prosperity, and a Self-Help Guru</t>
  </si>
  <si>
    <t>BP80</t>
  </si>
  <si>
    <t>https://ebookcentral.proquest.com/lib/cam/detail.action?docID=4414741</t>
  </si>
  <si>
    <t>Friendship, Descent and Alliance in Africa : Anthropological Perspectivces</t>
  </si>
  <si>
    <t>BF575.F66 F745 2014</t>
  </si>
  <si>
    <t>https://ebookcentral.proquest.com/lib/cam/detail.action?docID=1375299</t>
  </si>
  <si>
    <t>Understanding Juvenile Justice and Delinquency</t>
  </si>
  <si>
    <t>HV9104 -- .U475 2016eb</t>
  </si>
  <si>
    <t>https://ebookcentral.proquest.com/lib/cam/detail.action?docID=4014241</t>
  </si>
  <si>
    <t>Field Notes : The Making of Middle East Studies in the United States</t>
  </si>
  <si>
    <t>DS61</t>
  </si>
  <si>
    <t>https://ebookcentral.proquest.com/lib/cam/detail.action?docID=4405654</t>
  </si>
  <si>
    <t>Postmigrant Club Cultures in Urban Europe</t>
  </si>
  <si>
    <t>HQ792.E8 -- P67 2015eb</t>
  </si>
  <si>
    <t>https://ebookcentral.proquest.com/lib/cam/detail.action?docID=1920184</t>
  </si>
  <si>
    <t>Assessing Treaty Performance in China : Trade and Human Rights</t>
  </si>
  <si>
    <t>Business/Management; Law</t>
  </si>
  <si>
    <t>HF1733.C6 -- .P68 2014eb</t>
  </si>
  <si>
    <t>https://ebookcentral.proquest.com/lib/cam/detail.action?docID=3412924</t>
  </si>
  <si>
    <t>Phantoms of the Other : Four Generations of Derrida's Geschlecht</t>
  </si>
  <si>
    <t>B3279.H49 -- .K745 2015eb</t>
  </si>
  <si>
    <t>https://ebookcentral.proquest.com/lib/cam/detail.action?docID=3408998</t>
  </si>
  <si>
    <t>Phishing for Phools : The Economics of Manipulation and Deception</t>
  </si>
  <si>
    <t>330.01/9</t>
  </si>
  <si>
    <t>HB74.P8</t>
  </si>
  <si>
    <t>https://ebookcentral.proquest.com/lib/cam/detail.action?docID=2028310</t>
  </si>
  <si>
    <t>To Be Cared For : The Power of Conversion and Foreignness of Belonging in an Indian Slum</t>
  </si>
  <si>
    <t>289.9/4082095482</t>
  </si>
  <si>
    <t>BX8762.A45I47 2016</t>
  </si>
  <si>
    <t>https://ebookcentral.proquest.com/lib/cam/detail.action?docID=4305564</t>
  </si>
  <si>
    <t>Accounts, Excuses, and Apologies, Second Edition : Image Repair Theory and Research</t>
  </si>
  <si>
    <t>401/.41</t>
  </si>
  <si>
    <t>P302.87 -- .B466 2015eb</t>
  </si>
  <si>
    <t>https://ebookcentral.proquest.com/lib/cam/detail.action?docID=3408943</t>
  </si>
  <si>
    <t>The Color of Love : Racial Features, Stigma, and Socialization in Black Brazilian Families</t>
  </si>
  <si>
    <t>781.64/9097291</t>
  </si>
  <si>
    <t>F1789.N3S28 2016</t>
  </si>
  <si>
    <t>https://ebookcentral.proquest.com/lib/cam/detail.action?docID=4397278</t>
  </si>
  <si>
    <t>Ferruccio Busoni and His Legacy</t>
  </si>
  <si>
    <t>ML410.B98.K59 2017</t>
  </si>
  <si>
    <t>https://ebookcentral.proquest.com/lib/cam/detail.action?docID=4872938</t>
  </si>
  <si>
    <t>Snakes' Legs : Sequels, Continuations, Rewritings, and Chinese Fiction</t>
  </si>
  <si>
    <t>895.1/3009</t>
  </si>
  <si>
    <t>PL2415 -- .S63 2004eb</t>
  </si>
  <si>
    <t>https://ebookcentral.proquest.com/lib/cam/detail.action?docID=3413648</t>
  </si>
  <si>
    <t>The Great Reimagining : Public Art, Urban Space, and the Symbolic Landscapes of a 'New' Northern Ireland</t>
  </si>
  <si>
    <t>307.1/21609416</t>
  </si>
  <si>
    <t>HT169.G72N734 2015</t>
  </si>
  <si>
    <t>https://ebookcentral.proquest.com/lib/cam/detail.action?docID=1707829</t>
  </si>
  <si>
    <t>The Heir and the Sage : Dynastic Legend in Early China</t>
  </si>
  <si>
    <t>GR335.A43 2016</t>
  </si>
  <si>
    <t>https://ebookcentral.proquest.com/lib/cam/detail.action?docID=4676275</t>
  </si>
  <si>
    <t>Psychological Trauma and the Legacies of the First World War</t>
  </si>
  <si>
    <t>History; Medicine</t>
  </si>
  <si>
    <t>https://ebookcentral.proquest.com/lib/cam/detail.action?docID=4745447</t>
  </si>
  <si>
    <t>White World Order, Black Power Politics : The Birth of American International Relations</t>
  </si>
  <si>
    <t>327.730089/96073</t>
  </si>
  <si>
    <t>JZ1305</t>
  </si>
  <si>
    <t>https://ebookcentral.proquest.com/lib/cam/detail.action?docID=4189257</t>
  </si>
  <si>
    <t>Latin American Philosophy from Identity to Radical Exteriority</t>
  </si>
  <si>
    <t>199/.8</t>
  </si>
  <si>
    <t>B1001 -- .V35 2014eb</t>
  </si>
  <si>
    <t>https://ebookcentral.proquest.com/lib/cam/detail.action?docID=1809826</t>
  </si>
  <si>
    <t>The Omnibus Homo Sacer</t>
  </si>
  <si>
    <t>HB501.G56 2017</t>
  </si>
  <si>
    <t>https://ebookcentral.proquest.com/lib/cam/detail.action?docID=4983625</t>
  </si>
  <si>
    <t>Dialogue Against the Jews : Dialogue Against the Jews</t>
  </si>
  <si>
    <t>BM585</t>
  </si>
  <si>
    <t>https://ebookcentral.proquest.com/lib/cam/detail.action?docID=3134716</t>
  </si>
  <si>
    <t>The Sanctity of Louis IX : Early Lives of Saint Louis by Geoffrey of Beaulieu and William of Chartres</t>
  </si>
  <si>
    <t>944/.023092</t>
  </si>
  <si>
    <t>DC91</t>
  </si>
  <si>
    <t>https://ebookcentral.proquest.com/lib/cam/detail.action?docID=3138550</t>
  </si>
  <si>
    <t>Oil Wealth and Insurgency in Nigeria</t>
  </si>
  <si>
    <t>333.8/2320966936</t>
  </si>
  <si>
    <t>HD9577.N53N5423 2015</t>
  </si>
  <si>
    <t>https://ebookcentral.proquest.com/lib/cam/detail.action?docID=2069796</t>
  </si>
  <si>
    <t>The Pulse of Modernism : Physiological Aesthetics in Fin-De-Siècle Europe</t>
  </si>
  <si>
    <t>111/.85094</t>
  </si>
  <si>
    <t>https://ebookcentral.proquest.com/lib/cam/detail.action?docID=3444631</t>
  </si>
  <si>
    <t>A Nazi Past : Recasting German Identity in Postwar Europe</t>
  </si>
  <si>
    <t>943.086092/2</t>
  </si>
  <si>
    <t>DD243 -- .N395 2015eb</t>
  </si>
  <si>
    <t>https://ebookcentral.proquest.com/lib/cam/detail.action?docID=1997475</t>
  </si>
  <si>
    <t>In the Cause of Freedom : Radical Black Internationalism from Harlem to London, 1917-1939</t>
  </si>
  <si>
    <t>E185.61 -- .M353 2011eb</t>
  </si>
  <si>
    <t>https://ebookcentral.proquest.com/lib/cam/detail.action?docID=4321983</t>
  </si>
  <si>
    <t>Guide to the Solo Horn Repertoire</t>
  </si>
  <si>
    <t>General Works/Reference; Fine Arts</t>
  </si>
  <si>
    <t>ML128.H67 -- .D467 2016eb</t>
  </si>
  <si>
    <t>https://ebookcentral.proquest.com/lib/cam/detail.action?docID=4529420</t>
  </si>
  <si>
    <t>The Vision of the Soul</t>
  </si>
  <si>
    <t>https://ebookcentral.proquest.com/lib/cam/detail.action?docID=4862941</t>
  </si>
  <si>
    <t>All Great Art Is Praise</t>
  </si>
  <si>
    <t>PR5267</t>
  </si>
  <si>
    <t>https://ebookcentral.proquest.com/lib/cam/detail.action?docID=4751194</t>
  </si>
  <si>
    <t>Love and Christian Ethics : Tradition, Theory, and Society</t>
  </si>
  <si>
    <t>241/.4</t>
  </si>
  <si>
    <t>BV4639.L684 2016</t>
  </si>
  <si>
    <t>https://ebookcentral.proquest.com/lib/cam/detail.action?docID=4773092</t>
  </si>
  <si>
    <t>To Know God and the Soul : Essays on the Thought of Saint Augustine</t>
  </si>
  <si>
    <t>230/.14092</t>
  </si>
  <si>
    <t>https://ebookcentral.proquest.com/lib/cam/detail.action?docID=3134782</t>
  </si>
  <si>
    <t>Conventional and Ultimate Truth : A Key for Fundamental Theology</t>
  </si>
  <si>
    <t>BT40</t>
  </si>
  <si>
    <t>https://ebookcentral.proquest.com/lib/cam/detail.action?docID=3441193</t>
  </si>
  <si>
    <t>Transcendence and the Concrete : Selected Writings</t>
  </si>
  <si>
    <t>B2430.W32.W345 2017</t>
  </si>
  <si>
    <t>https://ebookcentral.proquest.com/lib/cam/detail.action?docID=4681099</t>
  </si>
  <si>
    <t>The Orderly Entrepreneur : Youth, Education, and Governance in Rwanda</t>
  </si>
  <si>
    <t>658.4/21071267571</t>
  </si>
  <si>
    <t>HB615</t>
  </si>
  <si>
    <t>https://ebookcentral.proquest.com/lib/cam/detail.action?docID=4669550</t>
  </si>
  <si>
    <t>Radical Theology : A Vision for Change</t>
  </si>
  <si>
    <t>BT75.2 -- .R633 2016eb</t>
  </si>
  <si>
    <t>https://ebookcentral.proquest.com/lib/cam/detail.action?docID=4606128</t>
  </si>
  <si>
    <t>Space and Pluralism : Can Contemporary Cities Be Places of Tolerance?</t>
  </si>
  <si>
    <t>HT119.S6525 2016</t>
  </si>
  <si>
    <t>https://ebookcentral.proquest.com/lib/cam/detail.action?docID=4662144</t>
  </si>
  <si>
    <t>Price of Thirst : Global Water Inequality and the Coming Chaos</t>
  </si>
  <si>
    <t>Business/Management; Agriculture; Economics; Environmental Studies</t>
  </si>
  <si>
    <t>HD1691 -- .P486 2014eb</t>
  </si>
  <si>
    <t>https://ebookcentral.proquest.com/lib/cam/detail.action?docID=1770777</t>
  </si>
  <si>
    <t>Stories of the South : Race and the Reconstruction of Southern Identity, 1865-1915</t>
  </si>
  <si>
    <t>E668 .P94 2014</t>
  </si>
  <si>
    <t>https://ebookcentral.proquest.com/lib/cam/detail.action?docID=1655859</t>
  </si>
  <si>
    <t>English Pastoral Music : From Arcadia to Utopia, 1900-1955</t>
  </si>
  <si>
    <t>780.941/0904</t>
  </si>
  <si>
    <t>ML286</t>
  </si>
  <si>
    <t>https://ebookcentral.proquest.com/lib/cam/detail.action?docID=4866466</t>
  </si>
  <si>
    <t>Female Suicide Bombings : A Critical Gender Approach</t>
  </si>
  <si>
    <t>HV6431</t>
  </si>
  <si>
    <t>https://ebookcentral.proquest.com/lib/cam/detail.action?docID=4624951</t>
  </si>
  <si>
    <t>Free and French in the Caribbean : Toussaint Louverture, Aimé Césaire, and Narratives of Loyal Opposition</t>
  </si>
  <si>
    <t>F1923.T69 -- W35 2013eb</t>
  </si>
  <si>
    <t>https://ebookcentral.proquest.com/lib/cam/detail.action?docID=1164912</t>
  </si>
  <si>
    <t>Jurji Zaidan and the Foundations of Arab Nationalism</t>
  </si>
  <si>
    <t>892.7/35</t>
  </si>
  <si>
    <t>PJ7876.A9Z833 2014</t>
  </si>
  <si>
    <t>https://ebookcentral.proquest.com/lib/cam/detail.action?docID=4649088</t>
  </si>
  <si>
    <t>What Works for Women at Work : Four Patterns Working Women Need to Know</t>
  </si>
  <si>
    <t>650.1/3082</t>
  </si>
  <si>
    <t>HD6053.W477 2014eb</t>
  </si>
  <si>
    <t>https://ebookcentral.proquest.com/lib/cam/detail.action?docID=1572872</t>
  </si>
  <si>
    <t>Law and Identity in Mandate Palestine</t>
  </si>
  <si>
    <t>KMQ1012 -- .L55 2006eb</t>
  </si>
  <si>
    <t>https://ebookcentral.proquest.com/lib/cam/detail.action?docID=413344</t>
  </si>
  <si>
    <t>The Historical Animal</t>
  </si>
  <si>
    <t>QL85.H565 2015</t>
  </si>
  <si>
    <t>https://ebookcentral.proquest.com/lib/cam/detail.action?docID=4649178</t>
  </si>
  <si>
    <t>Selma to Saigon : The Civil Rights Movement and the Vietnam War</t>
  </si>
  <si>
    <t>323.1196/0730904</t>
  </si>
  <si>
    <t>E185.615 .L82 2014eb</t>
  </si>
  <si>
    <t>https://ebookcentral.proquest.com/lib/cam/detail.action?docID=1653635</t>
  </si>
  <si>
    <t>Essays on the American Revolution</t>
  </si>
  <si>
    <t>E208 -- .E873 1973eb</t>
  </si>
  <si>
    <t>https://ebookcentral.proquest.com/lib/cam/detail.action?docID=4322190</t>
  </si>
  <si>
    <t>The Political Philosophy of Francis Bacon : On the Unity of Knowledge</t>
  </si>
  <si>
    <t>B1198.S8 -- M35 2015eb</t>
  </si>
  <si>
    <t>https://ebookcentral.proquest.com/lib/cam/detail.action?docID=3408960</t>
  </si>
  <si>
    <t>Before Virtue : Assessing Contemporary Virtue Ethics</t>
  </si>
  <si>
    <t>BJ1521</t>
  </si>
  <si>
    <t>https://ebookcentral.proquest.com/lib/cam/detail.action?docID=3425912</t>
  </si>
  <si>
    <t>Media and Revolution</t>
  </si>
  <si>
    <t>PN4751.M43 1995eb</t>
  </si>
  <si>
    <t>https://ebookcentral.proquest.com/lib/cam/detail.action?docID=1915240</t>
  </si>
  <si>
    <t>Money, Power, and Influence in Eighteenth-Century Lithuania : The Jews on the Radziwiłł Estates</t>
  </si>
  <si>
    <t>305.892/404793</t>
  </si>
  <si>
    <t>DS135</t>
  </si>
  <si>
    <t>https://ebookcentral.proquest.com/lib/cam/detail.action?docID=4711528</t>
  </si>
  <si>
    <t>Silvertown : The Lost Story of a Strike That Shook London and Helped Launch the Modern Labor Movement</t>
  </si>
  <si>
    <t>HD9161.G73.L667 201</t>
  </si>
  <si>
    <t>https://ebookcentral.proquest.com/lib/cam/detail.action?docID=1602506</t>
  </si>
  <si>
    <t>JFK's Forgotten Crisis : Tibet, the CIA, and the Sino-Indian War</t>
  </si>
  <si>
    <t>E183.8.I4.R543 2015</t>
  </si>
  <si>
    <t>https://ebookcentral.proquest.com/lib/cam/detail.action?docID=4042629</t>
  </si>
  <si>
    <t>White Robes, Silver Screens : Movies and the Making of the Ku Klux Klan</t>
  </si>
  <si>
    <t>791.43/655</t>
  </si>
  <si>
    <t>PN1995.9</t>
  </si>
  <si>
    <t>https://ebookcentral.proquest.com/lib/cam/detail.action?docID=4088462</t>
  </si>
  <si>
    <t>Queen of Flowers and Pearls : A Novel</t>
  </si>
  <si>
    <t>853/.92</t>
  </si>
  <si>
    <t>PQ4907.H48 -- .G447 2015eb</t>
  </si>
  <si>
    <t>https://ebookcentral.proquest.com/lib/cam/detail.action?docID=1938281</t>
  </si>
  <si>
    <t>Felâtun Bey and Râkim Efendi : An Ottoman Novel</t>
  </si>
  <si>
    <t>PL223</t>
  </si>
  <si>
    <t>https://ebookcentral.proquest.com/lib/cam/detail.action?docID=4649187</t>
  </si>
  <si>
    <t>The History of the Devil</t>
  </si>
  <si>
    <t>BT980 .F384 2015</t>
  </si>
  <si>
    <t>https://ebookcentral.proquest.com/lib/cam/detail.action?docID=2129522</t>
  </si>
  <si>
    <t>The Thief-Taker Hangings : How Daniel Defoe, Jonathan Wild, and Jack Sheppard Captivated London and Created the Celebrity Criminal</t>
  </si>
  <si>
    <t>Lyons Press</t>
  </si>
  <si>
    <t>PN5124.C74 -- .S55 2014eb</t>
  </si>
  <si>
    <t>https://ebookcentral.proquest.com/lib/cam/detail.action?docID=1784765</t>
  </si>
  <si>
    <t>The Relative Clause in Biblical Hebrew</t>
  </si>
  <si>
    <t>492.4/55</t>
  </si>
  <si>
    <t>PJ4717.H656 2016</t>
  </si>
  <si>
    <t>https://ebookcentral.proquest.com/lib/cam/detail.action?docID=4772151</t>
  </si>
  <si>
    <t>Anxiety of Erasure : Trauma, Authorship, and the Diaspora in Arab Women's Writings</t>
  </si>
  <si>
    <t>892.7/099287</t>
  </si>
  <si>
    <t>PJ7525.2</t>
  </si>
  <si>
    <t>https://ebookcentral.proquest.com/lib/cam/detail.action?docID=4649150</t>
  </si>
  <si>
    <t>Modern Families : Stories of Extraordinary Journeys to Kinship</t>
  </si>
  <si>
    <t>306.85097309/05</t>
  </si>
  <si>
    <t>HQ519.G36 2015</t>
  </si>
  <si>
    <t>https://ebookcentral.proquest.com/lib/cam/detail.action?docID=4012130</t>
  </si>
  <si>
    <t>Looking Back, Moving Forward : Transformation and Ethical Practice in the Ghanaian Church of Pentecost</t>
  </si>
  <si>
    <t>BX8762.A45</t>
  </si>
  <si>
    <t>https://ebookcentral.proquest.com/lib/cam/detail.action?docID=4669807</t>
  </si>
  <si>
    <t>Mexican Lobby : Matías Romero in Washington 1861--1867</t>
  </si>
  <si>
    <t>F1233.M495 1986eb</t>
  </si>
  <si>
    <t>https://ebookcentral.proquest.com/lib/cam/detail.action?docID=1915869</t>
  </si>
  <si>
    <t>Captured Peace : Elites and Peacebuilding in El Salvador</t>
  </si>
  <si>
    <t>F1488.5.W33 2016</t>
  </si>
  <si>
    <t>https://ebookcentral.proquest.com/lib/cam/detail.action?docID=4386514</t>
  </si>
  <si>
    <t>The Writers : A History of American Screenwriters and Their Guild</t>
  </si>
  <si>
    <t>PN1996 -- .B365 2015eb</t>
  </si>
  <si>
    <t>https://ebookcentral.proquest.com/lib/cam/detail.action?docID=1888024</t>
  </si>
  <si>
    <t>Sites of Modernity : Asian Cities in the Transitory Moments of Trade, Colonialism, and Nationalism</t>
  </si>
  <si>
    <t>https://ebookcentral.proquest.com/lib/cam/detail.action?docID=4516740</t>
  </si>
  <si>
    <t>Imagining Kashmir : Emplotment and Colonialism</t>
  </si>
  <si>
    <t>PR120.M55.H643 2016eb</t>
  </si>
  <si>
    <t>https://ebookcentral.proquest.com/lib/cam/detail.action?docID=4653457</t>
  </si>
  <si>
    <t>An Introduction to Vatican II As an Ongoing Theological Event</t>
  </si>
  <si>
    <t>BX830</t>
  </si>
  <si>
    <t>https://ebookcentral.proquest.com/lib/cam/detail.action?docID=4903972</t>
  </si>
  <si>
    <t>Theoretical Approaches to Linguistic Variation</t>
  </si>
  <si>
    <t>417/.7</t>
  </si>
  <si>
    <t>P120.V37.T43 2016</t>
  </si>
  <si>
    <t>https://ebookcentral.proquest.com/lib/cam/detail.action?docID=4743059</t>
  </si>
  <si>
    <t>Linguistic Studies in Phoenician</t>
  </si>
  <si>
    <t>492/.6</t>
  </si>
  <si>
    <t>PJ4171 -- .L56 2013eb</t>
  </si>
  <si>
    <t>https://ebookcentral.proquest.com/lib/cam/detail.action?docID=3155678</t>
  </si>
  <si>
    <t>Early Yiddish Epic</t>
  </si>
  <si>
    <t>839/.108001</t>
  </si>
  <si>
    <t>PJ5128.E27 2014</t>
  </si>
  <si>
    <t>https://ebookcentral.proquest.com/lib/cam/detail.action?docID=3410191</t>
  </si>
  <si>
    <t>Chaucer’s Choices : Through the looking-glass of medieval imagery</t>
  </si>
  <si>
    <t>PR1940 -- .S73 2015eb</t>
  </si>
  <si>
    <t>https://ebookcentral.proquest.com/lib/cam/detail.action?docID=4003678</t>
  </si>
  <si>
    <t>Early Exchange Between Africa and the Wider Indian Ocean World</t>
  </si>
  <si>
    <t>https://ebookcentral.proquest.com/lib/cam/detail.action?docID=4772459</t>
  </si>
  <si>
    <t>Walter Pater : Humanist</t>
  </si>
  <si>
    <t>PR5137.C7 1970eb</t>
  </si>
  <si>
    <t>https://ebookcentral.proquest.com/lib/cam/detail.action?docID=1915762</t>
  </si>
  <si>
    <t>Human Existence and Transcendence</t>
  </si>
  <si>
    <t>BD362.W331 2016</t>
  </si>
  <si>
    <t>https://ebookcentral.proquest.com/lib/cam/detail.action?docID=4525781</t>
  </si>
  <si>
    <t>Byron and Orientalism</t>
  </si>
  <si>
    <t>PR4392.O73 -- B97 2006eb</t>
  </si>
  <si>
    <t>https://ebookcentral.proquest.com/lib/cam/detail.action?docID=1080828</t>
  </si>
  <si>
    <t>Local Church, Global Church : Catholic Activism in Lation America from Rerum Novarum to Vatican II</t>
  </si>
  <si>
    <t>BX1426</t>
  </si>
  <si>
    <t>https://ebookcentral.proquest.com/lib/cam/detail.action?docID=4536029</t>
  </si>
  <si>
    <t>Peasants in Arms : War and Peace in the Mountains of Nicaragua, 1979-1994</t>
  </si>
  <si>
    <t>972.8505/3</t>
  </si>
  <si>
    <t>F1528.H655 1998</t>
  </si>
  <si>
    <t>https://ebookcentral.proquest.com/lib/cam/detail.action?docID=1775227</t>
  </si>
  <si>
    <t>Power and Restraint : The Rise of the United States, 1898--1941</t>
  </si>
  <si>
    <t>E744 -- .M425 2015eb</t>
  </si>
  <si>
    <t>https://ebookcentral.proquest.com/lib/cam/detail.action?docID=1987667</t>
  </si>
  <si>
    <t>New Negro Politics in the Jim Crow South</t>
  </si>
  <si>
    <t>E185.61.H249 2016</t>
  </si>
  <si>
    <t>https://ebookcentral.proquest.com/lib/cam/detail.action?docID=4699926</t>
  </si>
  <si>
    <t>Insurgent Testimonies : Witnessing Colonial Trauma in Modern and Anglophone Literature</t>
  </si>
  <si>
    <t>PR478.I53 -- .R59 2015eb</t>
  </si>
  <si>
    <t>https://ebookcentral.proquest.com/lib/cam/detail.action?docID=4395336</t>
  </si>
  <si>
    <t>Bridging the Distance : Common Issues of Rural West</t>
  </si>
  <si>
    <t>University of Utah Press</t>
  </si>
  <si>
    <t>HN79</t>
  </si>
  <si>
    <t>https://ebookcentral.proquest.com/lib/cam/detail.action?docID=4562230</t>
  </si>
  <si>
    <t>¡Tequila! : Distilling the Spirit of Mexico</t>
  </si>
  <si>
    <t>663/.50972</t>
  </si>
  <si>
    <t>TP607</t>
  </si>
  <si>
    <t>https://ebookcentral.proquest.com/lib/cam/detail.action?docID=1817032</t>
  </si>
  <si>
    <t>Burnt by the Sun : The Koreans of the Russian Far East</t>
  </si>
  <si>
    <t>305.8957/0577</t>
  </si>
  <si>
    <t>DK34.K67C45 2016</t>
  </si>
  <si>
    <t>https://ebookcentral.proquest.com/lib/cam/detail.action?docID=4573823</t>
  </si>
  <si>
    <t>Gülen-Inspired Hizmet in Europe : The Western Journey of a Turkish Muslim Movement</t>
  </si>
  <si>
    <t>BP173.25 -- .G854 2015eb</t>
  </si>
  <si>
    <t>https://ebookcentral.proquest.com/lib/cam/detail.action?docID=3564946</t>
  </si>
  <si>
    <t>Asia Inside Out</t>
  </si>
  <si>
    <t>DS5</t>
  </si>
  <si>
    <t>https://ebookcentral.proquest.com/lib/cam/detail.action?docID=3433058</t>
  </si>
  <si>
    <t>Diplomatic Games : Sport, Statecraft, and International Relations Since 1945</t>
  </si>
  <si>
    <t>GV706.35 -- .D57 2014eb</t>
  </si>
  <si>
    <t>https://ebookcentral.proquest.com/lib/cam/detail.action?docID=1766746</t>
  </si>
  <si>
    <t>Tocquevillian Ideas : Contemporary European Perspectives</t>
  </si>
  <si>
    <t>DC36.98.T63 -- .T637 2014eb</t>
  </si>
  <si>
    <t>https://ebookcentral.proquest.com/lib/cam/detail.action?docID=1663938</t>
  </si>
  <si>
    <t>The Glorious Revolution and the Continuity of Law</t>
  </si>
  <si>
    <t>JN201</t>
  </si>
  <si>
    <t>https://ebookcentral.proquest.com/lib/cam/detail.action?docID=3135185</t>
  </si>
  <si>
    <t>Minima Philologica</t>
  </si>
  <si>
    <t>P33 -- .H363 2015eb</t>
  </si>
  <si>
    <t>https://ebookcentral.proquest.com/lib/cam/detail.action?docID=3239965</t>
  </si>
  <si>
    <t>The Civil War in Popular Culture : Memory and Meaning</t>
  </si>
  <si>
    <t>E468.9.C4746 2014eb</t>
  </si>
  <si>
    <t>https://ebookcentral.proquest.com/lib/cam/detail.action?docID=1576494</t>
  </si>
  <si>
    <t>The Eyes of Faith : The Sense of the Faithful and the Church's Reception of Revelation</t>
  </si>
  <si>
    <t>231/.042</t>
  </si>
  <si>
    <t>https://ebookcentral.proquest.com/lib/cam/detail.action?docID=3134932</t>
  </si>
  <si>
    <t>The Intolerable God : Kant's Theological Journey</t>
  </si>
  <si>
    <t>B2799.R4.I576 2016</t>
  </si>
  <si>
    <t>https://ebookcentral.proquest.com/lib/cam/detail.action?docID=4859096</t>
  </si>
  <si>
    <t>Alcohol : A History</t>
  </si>
  <si>
    <t>GT2884.P455 2014eb</t>
  </si>
  <si>
    <t>https://ebookcentral.proquest.com/lib/cam/detail.action?docID=1663561</t>
  </si>
  <si>
    <t>Subject Pronoun Expression in Spanish : A Cross-Dialectal Perspective</t>
  </si>
  <si>
    <t>PC4261</t>
  </si>
  <si>
    <t>https://ebookcentral.proquest.com/lib/cam/detail.action?docID=2098309</t>
  </si>
  <si>
    <t>Sacred Boundaries : Religious Coexistence and Conflict in Early-Modern France</t>
  </si>
  <si>
    <t>274.4/06</t>
  </si>
  <si>
    <t>BR845</t>
  </si>
  <si>
    <t>https://ebookcentral.proquest.com/lib/cam/detail.action?docID=3134708</t>
  </si>
  <si>
    <t>The Panama Papers : Breaking the Story of How the Rich and Powerful Hide Their Money</t>
  </si>
  <si>
    <t>Law; Economics</t>
  </si>
  <si>
    <t>K4486.O247 2016eb</t>
  </si>
  <si>
    <t>https://ebookcentral.proquest.com/lib/cam/detail.action?docID=4561862</t>
  </si>
  <si>
    <t>Image Problems : The Origin and Development of the Buddha's Image in Early South Asia</t>
  </si>
  <si>
    <t>https://ebookcentral.proquest.com/lib/cam/detail.action?docID=3444634</t>
  </si>
  <si>
    <t>Object-Oriented Feminism</t>
  </si>
  <si>
    <t>BD336.O254 2016</t>
  </si>
  <si>
    <t>https://ebookcentral.proquest.com/lib/cam/detail.action?docID=4525954</t>
  </si>
  <si>
    <t>Principle and Prudence in Western Political Thought</t>
  </si>
  <si>
    <t>JA71 -- .P756 2016eb</t>
  </si>
  <si>
    <t>https://ebookcentral.proquest.com/lib/cam/detail.action?docID=4442182</t>
  </si>
  <si>
    <t>Swords, Oaths, and Prophetic Visions : Authoring Warrior Rule in Medieval Japan</t>
  </si>
  <si>
    <t>PL747.33.W3 -- O95 2006eb</t>
  </si>
  <si>
    <t>https://ebookcentral.proquest.com/lib/cam/detail.action?docID=3413743</t>
  </si>
  <si>
    <t>RDA Made Simple: a Practical Guide to the New Cataloging Rules</t>
  </si>
  <si>
    <t>Z694.15.R47 -- .H367 2014eb</t>
  </si>
  <si>
    <t>https://ebookcentral.proquest.com/lib/cam/detail.action?docID=1818234</t>
  </si>
  <si>
    <t>Accounts and Images of Six Kannon in Japan</t>
  </si>
  <si>
    <t>700/.482943</t>
  </si>
  <si>
    <t>N8193.3.A82.F695 2016</t>
  </si>
  <si>
    <t>https://ebookcentral.proquest.com/lib/cam/detail.action?docID=4669056</t>
  </si>
  <si>
    <t>Persistent Forms : Explorations in Historical Poetics</t>
  </si>
  <si>
    <t>PN1035 -- .P46 2016eb</t>
  </si>
  <si>
    <t>https://ebookcentral.proquest.com/lib/cam/detail.action?docID=4395327</t>
  </si>
  <si>
    <t>Pageants, Parlors, and Pretty Women : Race and Beauty in the Twentieth-Century South</t>
  </si>
  <si>
    <t>E185.615 -- .R522 2014eb</t>
  </si>
  <si>
    <t>https://ebookcentral.proquest.com/lib/cam/detail.action?docID=1655861</t>
  </si>
  <si>
    <t>Medea’s Chorus : Myth and Women’s Poetry Since 1950</t>
  </si>
  <si>
    <t>PR605.W6 -- .H687 2014eb</t>
  </si>
  <si>
    <t>https://ebookcentral.proquest.com/lib/cam/detail.action?docID=1779607</t>
  </si>
  <si>
    <t>Interpreting the Prohibition Era at Museums and Historic Sites</t>
  </si>
  <si>
    <t>HV5089 -- .L368 2015eb</t>
  </si>
  <si>
    <t>https://ebookcentral.proquest.com/lib/cam/detail.action?docID=1873113</t>
  </si>
  <si>
    <t>European Others : Queering Ethnicity in Postnational Europe</t>
  </si>
  <si>
    <t>305.3089/0094</t>
  </si>
  <si>
    <t>HM753 -- .E48 2011eb</t>
  </si>
  <si>
    <t>https://ebookcentral.proquest.com/lib/cam/detail.action?docID=765495</t>
  </si>
  <si>
    <t>Machado de Assis : Toward a Poetics of Emulation</t>
  </si>
  <si>
    <t>PQ9697</t>
  </si>
  <si>
    <t>https://ebookcentral.proquest.com/lib/cam/detail.action?docID=3433766</t>
  </si>
  <si>
    <t>Zero Hunger : Political Culture and Antipoverty Policy in Northeast Brazil</t>
  </si>
  <si>
    <t>HC190.P63 -- .A57 2014eb</t>
  </si>
  <si>
    <t>https://ebookcentral.proquest.com/lib/cam/detail.action?docID=1696226</t>
  </si>
  <si>
    <t>Theorizing in Social Science : The Context of Discovery</t>
  </si>
  <si>
    <t>https://ebookcentral.proquest.com/lib/cam/detail.action?docID=1651780</t>
  </si>
  <si>
    <t>The Politics of American Foreign Policy : How Ideology Divides Liberals and Conservatives over Foreign Affairs</t>
  </si>
  <si>
    <t>E895</t>
  </si>
  <si>
    <t>https://ebookcentral.proquest.com/lib/cam/detail.action?docID=1719958</t>
  </si>
  <si>
    <t>Creating Aztlán : Chicano Art, Indigenous Sovereignty, and Lowriding Across Turtle Island</t>
  </si>
  <si>
    <t>704.03/97</t>
  </si>
  <si>
    <t>N6538</t>
  </si>
  <si>
    <t>https://ebookcentral.proquest.com/lib/cam/detail.action?docID=3411893</t>
  </si>
  <si>
    <t>Mahler and Strauss : In Dialogue</t>
  </si>
  <si>
    <t>ML410.M23.Y68 2016eb</t>
  </si>
  <si>
    <t>https://ebookcentral.proquest.com/lib/cam/detail.action?docID=4612541</t>
  </si>
  <si>
    <t>Walter Hines Page : Ambassador to the Court of St. James's</t>
  </si>
  <si>
    <t>E664.P15.G744 1970eb</t>
  </si>
  <si>
    <t>https://ebookcentral.proquest.com/lib/cam/detail.action?docID=1915688</t>
  </si>
  <si>
    <t>Holy Matter : Changing Perceptions of the Material World in Late Medieval Christianity</t>
  </si>
  <si>
    <t>231.709/02</t>
  </si>
  <si>
    <t>https://ebookcentral.proquest.com/lib/cam/detail.action?docID=3138584</t>
  </si>
  <si>
    <t>Gentry and Common Folk : Political Culture on a Virginia Frontier 1740--1789</t>
  </si>
  <si>
    <t>F229.T58 1991eb</t>
  </si>
  <si>
    <t>https://ebookcentral.proquest.com/lib/cam/detail.action?docID=1915571</t>
  </si>
  <si>
    <t>Victims and Warriors : Violence, History, and Memory in Amazonia</t>
  </si>
  <si>
    <t>F3722</t>
  </si>
  <si>
    <t>https://ebookcentral.proquest.com/lib/cam/detail.action?docID=3414441</t>
  </si>
  <si>
    <t>Knowing God by Experience : The Spiritual Senses in the Theology of William of Auxerre</t>
  </si>
  <si>
    <t>230/.2/092</t>
  </si>
  <si>
    <t>BT98</t>
  </si>
  <si>
    <t>https://ebookcentral.proquest.com/lib/cam/detail.action?docID=3134792</t>
  </si>
  <si>
    <t>Severe Mercy : Sin and Its Remedy in the Old Testament</t>
  </si>
  <si>
    <t>BS1199.S54 -- B63 2009eb</t>
  </si>
  <si>
    <t>https://ebookcentral.proquest.com/lib/cam/detail.action?docID=3155659</t>
  </si>
  <si>
    <t>The Binding of Isaac and Messiah : Law, Martyrdom, and Deliverance in Early Rabbinic Religiosity</t>
  </si>
  <si>
    <t>296/.09/015</t>
  </si>
  <si>
    <t>BM645.M34 -- A38 1988eb</t>
  </si>
  <si>
    <t>https://ebookcentral.proquest.com/lib/cam/detail.action?docID=3408002</t>
  </si>
  <si>
    <t>Trapped in the Gap : Doing Good in Indigenous Australia</t>
  </si>
  <si>
    <t>362.84/9915</t>
  </si>
  <si>
    <t>DU124.S63K68 2015</t>
  </si>
  <si>
    <t>https://ebookcentral.proquest.com/lib/cam/detail.action?docID=1707826</t>
  </si>
  <si>
    <t>Narratives of the Self</t>
  </si>
  <si>
    <t>PQ6066</t>
  </si>
  <si>
    <t>https://ebookcentral.proquest.com/lib/cam/detail.action?docID=2048928</t>
  </si>
  <si>
    <t>Winning the Third World : Sino-American Rivalry During the Cold War</t>
  </si>
  <si>
    <t>E183.8.C5.B739 2017</t>
  </si>
  <si>
    <t>https://ebookcentral.proquest.com/lib/cam/detail.action?docID=4821055</t>
  </si>
  <si>
    <t>Gay Is Good : The Life and Letters of Gay Rights Pioneer Franklin Kameny</t>
  </si>
  <si>
    <t>323.3/264</t>
  </si>
  <si>
    <t>HQ75.8.K35A4 2014</t>
  </si>
  <si>
    <t>https://ebookcentral.proquest.com/lib/cam/detail.action?docID=4649153</t>
  </si>
  <si>
    <t>Hong Kong in the Cold War</t>
  </si>
  <si>
    <t>DS796.H757.H664 2016</t>
  </si>
  <si>
    <t>https://ebookcentral.proquest.com/lib/cam/detail.action?docID=4724633</t>
  </si>
  <si>
    <t>Food in Zones of Conflict : Cross-Disciplinary Perspectives</t>
  </si>
  <si>
    <t>GT2850.F674 2014</t>
  </si>
  <si>
    <t>https://ebookcentral.proquest.com/lib/cam/detail.action?docID=1644362</t>
  </si>
  <si>
    <t>Realism and Its Vicissitudes : Essays in Honor of Sandy Petrey</t>
  </si>
  <si>
    <t>PN56.R3 -- R356 2015eb</t>
  </si>
  <si>
    <t>https://ebookcentral.proquest.com/lib/cam/detail.action?docID=2011087</t>
  </si>
  <si>
    <t>Sermons on the Liturgical Seasons</t>
  </si>
  <si>
    <t>BR60.F3 -- A948 1984eb</t>
  </si>
  <si>
    <t>https://ebookcentral.proquest.com/lib/cam/detail.action?docID=3134880</t>
  </si>
  <si>
    <t>Building the Great Stone Circles of the North : Pdf</t>
  </si>
  <si>
    <t>Windgather Press</t>
  </si>
  <si>
    <t>GN805 .B855 2013</t>
  </si>
  <si>
    <t>https://ebookcentral.proquest.com/lib/cam/detail.action?docID=2084649</t>
  </si>
  <si>
    <t>Graham Greene : Some Critical Considerations</t>
  </si>
  <si>
    <t>PR6013.R44.G734 196</t>
  </si>
  <si>
    <t>https://ebookcentral.proquest.com/lib/cam/detail.action?docID=1915009</t>
  </si>
  <si>
    <t>Film As Philosophy</t>
  </si>
  <si>
    <t>PN1995.F457545 2017</t>
  </si>
  <si>
    <t>https://ebookcentral.proquest.com/lib/cam/detail.action?docID=4745546</t>
  </si>
  <si>
    <t>Transforming Education : Global Perspectives, Experiences and Implications</t>
  </si>
  <si>
    <t>LB2822.8 -- .T73 2013eb</t>
  </si>
  <si>
    <t>https://ebookcentral.proquest.com/lib/cam/detail.action?docID=1920235</t>
  </si>
  <si>
    <t>The Wedding Feast of the Lamb : Eros, the Body, and the Eucharist</t>
  </si>
  <si>
    <t>B105.B64.F357 2016eb</t>
  </si>
  <si>
    <t>https://ebookcentral.proquest.com/lib/cam/detail.action?docID=4603830</t>
  </si>
  <si>
    <t>The Anglosphere : A Genealogy of a Racialized Identity in International Relations</t>
  </si>
  <si>
    <t>327.0917/521</t>
  </si>
  <si>
    <t>D446</t>
  </si>
  <si>
    <t>https://ebookcentral.proquest.com/lib/cam/detail.action?docID=692462</t>
  </si>
  <si>
    <t>The Southern Strategy Revisited : Republican Top-Down Advancement in the South</t>
  </si>
  <si>
    <t>324.2734/0975/09045</t>
  </si>
  <si>
    <t>JK2356.A37 1996eb</t>
  </si>
  <si>
    <t>https://ebookcentral.proquest.com/lib/cam/detail.action?docID=1915319</t>
  </si>
  <si>
    <t>The Sons of Molly Maguire : The Irish Roots of America's First Labor War</t>
  </si>
  <si>
    <t>HV6452.P4 -- M65 2015eb</t>
  </si>
  <si>
    <t>https://ebookcentral.proquest.com/lib/cam/detail.action?docID=3239955</t>
  </si>
  <si>
    <t>How Pictures Complete Us : The Beautiful, the Sublime, and the Divine</t>
  </si>
  <si>
    <t>700.9/04</t>
  </si>
  <si>
    <t>N6350</t>
  </si>
  <si>
    <t>https://ebookcentral.proquest.com/lib/cam/detail.action?docID=4427875</t>
  </si>
  <si>
    <t>Peirce on Signs : Writings on Semiotic by Charles Sanders Peirce</t>
  </si>
  <si>
    <t>Language/Linguistics; Philosophy</t>
  </si>
  <si>
    <t>P85.P38</t>
  </si>
  <si>
    <t>https://ebookcentral.proquest.com/lib/cam/detail.action?docID=1663493</t>
  </si>
  <si>
    <t>Studies in Sumerian Language and Literature : Festschrift Joachim Krecher</t>
  </si>
  <si>
    <t>PJ4008 -- .S783 2014eb</t>
  </si>
  <si>
    <t>https://ebookcentral.proquest.com/lib/cam/detail.action?docID=3155730</t>
  </si>
  <si>
    <t>Hezbollah : From Islamic Resistance to Government</t>
  </si>
  <si>
    <t>324.25692/082</t>
  </si>
  <si>
    <t>JQ1828.A98 -- .W677 2016eb</t>
  </si>
  <si>
    <t>https://ebookcentral.proquest.com/lib/cam/detail.action?docID=4014239</t>
  </si>
  <si>
    <t>Hezbollah : The Global Footprint of Lebanon's Party of God</t>
  </si>
  <si>
    <t>JQ1828.A98</t>
  </si>
  <si>
    <t>https://ebookcentral.proquest.com/lib/cam/detail.action?docID=2098307</t>
  </si>
  <si>
    <t>Foreign Policies of Arab States : The Challenge of Globalization</t>
  </si>
  <si>
    <t>DS63.1 -- .F67 2008eb</t>
  </si>
  <si>
    <t>https://ebookcentral.proquest.com/lib/cam/detail.action?docID=3114725</t>
  </si>
  <si>
    <t>Selling War, Selling Hope : Presidential Rhetoric, the News Media, and US Foreign Policy since 9/11</t>
  </si>
  <si>
    <t>327.73009/0511</t>
  </si>
  <si>
    <t>E895 -- .D56 2015eb</t>
  </si>
  <si>
    <t>https://ebookcentral.proquest.com/lib/cam/detail.action?docID=4396581</t>
  </si>
  <si>
    <t>Envisioning Africa : Racism and Imperialism in Conrad's Heart of Darkness</t>
  </si>
  <si>
    <t>PR6005.O4 -- .H47645 2000eb</t>
  </si>
  <si>
    <t>https://ebookcentral.proquest.com/lib/cam/detail.action?docID=1914976</t>
  </si>
  <si>
    <t>The Rise of China and Chinese International Relations Scholarship</t>
  </si>
  <si>
    <t>JZ1238.C5 -- W36 2013eb</t>
  </si>
  <si>
    <t>https://ebookcentral.proquest.com/lib/cam/detail.action?docID=1367843</t>
  </si>
  <si>
    <t>The Death and Life of the Self : Post-Wittgensteinian Investigations</t>
  </si>
  <si>
    <t>BF697 -- .G355 2016eb</t>
  </si>
  <si>
    <t>https://ebookcentral.proquest.com/lib/cam/detail.action?docID=4526595</t>
  </si>
  <si>
    <t>Passions and Virtue</t>
  </si>
  <si>
    <t>BJ1278</t>
  </si>
  <si>
    <t>https://ebookcentral.proquest.com/lib/cam/detail.action?docID=3425915</t>
  </si>
  <si>
    <t>Introduction to Philosophy</t>
  </si>
  <si>
    <t>BD21 -- .K56 2016eb</t>
  </si>
  <si>
    <t>https://ebookcentral.proquest.com/lib/cam/detail.action?docID=4526601</t>
  </si>
  <si>
    <t>Plundering Egypt : A Subversive Christian Ethic of Economy</t>
  </si>
  <si>
    <t>BR115.E3 -- .W344 2016eb</t>
  </si>
  <si>
    <t>https://ebookcentral.proquest.com/lib/cam/detail.action?docID=4534537</t>
  </si>
  <si>
    <t>Metaphysics : Selected Problems of Metaphysics and Ontology</t>
  </si>
  <si>
    <t>BD111 -- .K56 2016eb</t>
  </si>
  <si>
    <t>https://ebookcentral.proquest.com/lib/cam/detail.action?docID=4526604</t>
  </si>
  <si>
    <t>Divine Enjoyment : A Theology of Passion and Exuberance</t>
  </si>
  <si>
    <t>231/.4</t>
  </si>
  <si>
    <t>BT103 -- .P335 2015eb</t>
  </si>
  <si>
    <t>https://ebookcentral.proquest.com/lib/cam/detail.action?docID=3239956</t>
  </si>
  <si>
    <t>Called to Holiness</t>
  </si>
  <si>
    <t>BX1913</t>
  </si>
  <si>
    <t>https://ebookcentral.proquest.com/lib/cam/detail.action?docID=4845304</t>
  </si>
  <si>
    <t>Syria from Reform to Revolt : Volume 2: Culture, Society, and Religion</t>
  </si>
  <si>
    <t>https://ebookcentral.proquest.com/lib/cam/detail.action?docID=4649071</t>
  </si>
  <si>
    <t>Contested Bodies : Pregnancy, Childrearing, and Slavery in Jamaica</t>
  </si>
  <si>
    <t>HT1096.T876 2017</t>
  </si>
  <si>
    <t>https://ebookcentral.proquest.com/lib/cam/detail.action?docID=4854373</t>
  </si>
  <si>
    <t>The Emotions of Justice : Gender, Status, and Legal Performance in Choson Korea</t>
  </si>
  <si>
    <t>342.519/080903</t>
  </si>
  <si>
    <t>KPA120.K563 2015</t>
  </si>
  <si>
    <t>https://ebookcentral.proquest.com/lib/cam/detail.action?docID=4305968</t>
  </si>
  <si>
    <t>Rethinking the Medieval Legacy for Contemporary Theology</t>
  </si>
  <si>
    <t>BT21</t>
  </si>
  <si>
    <t>https://ebookcentral.proquest.com/lib/cam/detail.action?docID=3441176</t>
  </si>
  <si>
    <t>Teaching Bodies : Moral Formation in the Summa of Thomas Aquinas</t>
  </si>
  <si>
    <t>230/.2</t>
  </si>
  <si>
    <t>B765.T53.J673 2017eb</t>
  </si>
  <si>
    <t>https://ebookcentral.proquest.com/lib/cam/detail.action?docID=4681121</t>
  </si>
  <si>
    <t>Reading the Way to Heaven : A Wesleyan Theological Hermeneutic of Scripture</t>
  </si>
  <si>
    <t>BS476 -- .K665 2014eb</t>
  </si>
  <si>
    <t>https://ebookcentral.proquest.com/lib/cam/detail.action?docID=3155720</t>
  </si>
  <si>
    <t>Trinity, Economy, and Scripture : Recovering Didymus the Blind</t>
  </si>
  <si>
    <t>BT110.D53 -- H53 2015eb</t>
  </si>
  <si>
    <t>https://ebookcentral.proquest.com/lib/cam/detail.action?docID=4395087</t>
  </si>
  <si>
    <t>An Invitation to Analytic Christian Theology</t>
  </si>
  <si>
    <t>230/.046</t>
  </si>
  <si>
    <t>BR118.M24 2015</t>
  </si>
  <si>
    <t>https://ebookcentral.proquest.com/lib/cam/detail.action?docID=4388715</t>
  </si>
  <si>
    <t>Wisdom's Apprentice : Thomistic Essays in Honor of Lawrence Dewan, O. P.</t>
  </si>
  <si>
    <t>https://ebookcentral.proquest.com/lib/cam/detail.action?docID=3135040</t>
  </si>
  <si>
    <t>Theology Needs Philosophy : Acting Against Reason Is Contrary to the Nature of God</t>
  </si>
  <si>
    <t>https://ebookcentral.proquest.com/lib/cam/detail.action?docID=4585996</t>
  </si>
  <si>
    <t>Aquinas and the Theology of the Body</t>
  </si>
  <si>
    <t>https://ebookcentral.proquest.com/lib/cam/detail.action?docID=4592423</t>
  </si>
  <si>
    <t>The Beautiful, the True and the Good : Studies in the History of Thought</t>
  </si>
  <si>
    <t>B829</t>
  </si>
  <si>
    <t>https://ebookcentral.proquest.com/lib/cam/detail.action?docID=3425923</t>
  </si>
  <si>
    <t>Person, Being, and History : Essays in Honor of Kenneth L. Schmitz</t>
  </si>
  <si>
    <t>B29</t>
  </si>
  <si>
    <t>https://ebookcentral.proquest.com/lib/cam/detail.action?docID=3135060</t>
  </si>
  <si>
    <t>The Texture of Being : Essays in First Philosophy</t>
  </si>
  <si>
    <t>100 s 110</t>
  </si>
  <si>
    <t>B21</t>
  </si>
  <si>
    <t>https://ebookcentral.proquest.com/lib/cam/detail.action?docID=3134734</t>
  </si>
  <si>
    <t>Freedom from Liberation : Slavery, Sentiment, and Literature in Cuba</t>
  </si>
  <si>
    <t>306.3/6209729109034</t>
  </si>
  <si>
    <t>HT1076 .M2835</t>
  </si>
  <si>
    <t>https://ebookcentral.proquest.com/lib/cam/detail.action?docID=2120278</t>
  </si>
  <si>
    <t>Metaphysical Themes in Thomas Aquinas II</t>
  </si>
  <si>
    <t>100 s 110.92</t>
  </si>
  <si>
    <t>https://ebookcentral.proquest.com/lib/cam/detail.action?docID=3134711</t>
  </si>
  <si>
    <t>Compassionate Communalism : Welfare and Sectarianism in Lebanon</t>
  </si>
  <si>
    <t>HV378+</t>
  </si>
  <si>
    <t>https://ebookcentral.proquest.com/lib/cam/detail.action?docID=3138595</t>
  </si>
  <si>
    <t>An Asian Frontier : American Anthropology and Korea, 1882–1945</t>
  </si>
  <si>
    <t>GN17.3.U6 -- .O674 2016eb</t>
  </si>
  <si>
    <t>https://ebookcentral.proquest.com/lib/cam/detail.action?docID=4516790</t>
  </si>
  <si>
    <t>Squandered Opportunity : Neoclassical Realism and Iran's Foreign Policy</t>
  </si>
  <si>
    <t>DS318</t>
  </si>
  <si>
    <t>https://ebookcentral.proquest.com/lib/cam/detail.action?docID=2030080</t>
  </si>
  <si>
    <t>At Zero Point : Discourse, Culture, and Satire in Restoration England</t>
  </si>
  <si>
    <t>827/.409</t>
  </si>
  <si>
    <t>PR934.Z56 1998eb</t>
  </si>
  <si>
    <t>https://ebookcentral.proquest.com/lib/cam/detail.action?docID=1915377</t>
  </si>
  <si>
    <t>Children of Afghanistan : The Path to Peace</t>
  </si>
  <si>
    <t>HQ792.A3 -- .C45 2014eb</t>
  </si>
  <si>
    <t>https://ebookcentral.proquest.com/lib/cam/detail.action?docID=3571791</t>
  </si>
  <si>
    <t>The Common Growl : Toward a Poetics of Precarious Community</t>
  </si>
  <si>
    <t>PN511 .C666 2016</t>
  </si>
  <si>
    <t>https://ebookcentral.proquest.com/lib/cam/detail.action?docID=4528718</t>
  </si>
  <si>
    <t>Viktor Frankl's Search for Meaning : An Emblematic 20th-Century Life</t>
  </si>
  <si>
    <t>150.19/5092</t>
  </si>
  <si>
    <t>BF109.F695P95 2015</t>
  </si>
  <si>
    <t>https://ebookcentral.proquest.com/lib/cam/detail.action?docID=4000012</t>
  </si>
  <si>
    <t>Beyond the Euromaidan : Comparative Perspectives on Advancing Reform in Ukraine</t>
  </si>
  <si>
    <t>JN6635</t>
  </si>
  <si>
    <t>https://ebookcentral.proquest.com/lib/cam/detail.action?docID=4659144</t>
  </si>
  <si>
    <t>The Politicization of Ethnicity As Source of Conflict : The Nigerian Situation</t>
  </si>
  <si>
    <t>https://ebookcentral.proquest.com/lib/cam/detail.action?docID=4526878</t>
  </si>
  <si>
    <t>Women Shaping Islam : Reading the Qu'ran in Indonesia</t>
  </si>
  <si>
    <t>297.082/09598</t>
  </si>
  <si>
    <t>BP63</t>
  </si>
  <si>
    <t>https://ebookcentral.proquest.com/lib/cam/detail.action?docID=3414088</t>
  </si>
  <si>
    <t>Schumann's Virtuosity : Criticism, Composition, and Performance in Nineteenth-Century Germany</t>
  </si>
  <si>
    <t>ML410.S4S83 2016</t>
  </si>
  <si>
    <t>https://ebookcentral.proquest.com/lib/cam/detail.action?docID=4674272</t>
  </si>
  <si>
    <t>The Middle East and Brazil : Perspectives on the New Global South</t>
  </si>
  <si>
    <t>303.48/281056</t>
  </si>
  <si>
    <t>DS63.2.B6 -- M54 2014eb</t>
  </si>
  <si>
    <t>https://ebookcentral.proquest.com/lib/cam/detail.action?docID=2036032</t>
  </si>
  <si>
    <t>Making Ubumwe : Power, State and Camps in Rwanda's Unity Building Project</t>
  </si>
  <si>
    <t>303.6/90967571</t>
  </si>
  <si>
    <t>HN795.Z9C7378  2015</t>
  </si>
  <si>
    <t>https://ebookcentral.proquest.com/lib/cam/detail.action?docID=4007280</t>
  </si>
  <si>
    <t>Encountering Religion : Responsibility and Criticism After Secularism</t>
  </si>
  <si>
    <t>BL51 -- .R576 2013eb</t>
  </si>
  <si>
    <t>https://ebookcentral.proquest.com/lib/cam/detail.action?docID=1321643</t>
  </si>
  <si>
    <t>Into the Vortex : Female Voice and Paradox in Film</t>
  </si>
  <si>
    <t>https://ebookcentral.proquest.com/lib/cam/detail.action?docID=3414037</t>
  </si>
  <si>
    <t>Bonds of Wool : The Pallium and Papal Power in the Middle Ages</t>
  </si>
  <si>
    <t>262/.130902</t>
  </si>
  <si>
    <t>BX1925</t>
  </si>
  <si>
    <t>https://ebookcentral.proquest.com/lib/cam/detail.action?docID=4729293</t>
  </si>
  <si>
    <t>Reanimating Industrial Spaces : Conducting Memory Work in Post-Industrial Societies</t>
  </si>
  <si>
    <t>Business/Management; Engineering: General; Engineering</t>
  </si>
  <si>
    <t>609/.009</t>
  </si>
  <si>
    <t>HC79.D5 -- .R436 2015eb</t>
  </si>
  <si>
    <t>https://ebookcentral.proquest.com/lib/cam/detail.action?docID=1890601</t>
  </si>
  <si>
    <t>The Decolonial Abyss : Mysticism and Cosmopolitics from the Ruins</t>
  </si>
  <si>
    <t>B825.2.Y686 2017</t>
  </si>
  <si>
    <t>https://ebookcentral.proquest.com/lib/cam/detail.action?docID=4803765</t>
  </si>
  <si>
    <t>The Cultural Politics of Reproduction : Migration, Health and Family Making</t>
  </si>
  <si>
    <t>Health; Social Science; Political Science</t>
  </si>
  <si>
    <t>JV6347.C855 2014</t>
  </si>
  <si>
    <t>https://ebookcentral.proquest.com/lib/cam/detail.action?docID=1644374</t>
  </si>
  <si>
    <t>Mobile Selves : Race, Migration, and Belonging in Peru and the U. S.</t>
  </si>
  <si>
    <t>E184.P47 B47 2015</t>
  </si>
  <si>
    <t>https://ebookcentral.proquest.com/lib/cam/detail.action?docID=2081781</t>
  </si>
  <si>
    <t>The Islamic State : A Brief Introduction</t>
  </si>
  <si>
    <t>956.05/4</t>
  </si>
  <si>
    <t>HV6433.I722 -- .L578 2015eb</t>
  </si>
  <si>
    <t>https://ebookcentral.proquest.com/lib/cam/detail.action?docID=1969491</t>
  </si>
  <si>
    <t>Sebald's Vision</t>
  </si>
  <si>
    <t>PT2681.E18 Z644 2015</t>
  </si>
  <si>
    <t>https://ebookcentral.proquest.com/lib/cam/detail.action?docID=2145074</t>
  </si>
  <si>
    <t>A Political Companion to Marilynne Robinson</t>
  </si>
  <si>
    <t>PS3568.O3125.P655 2016</t>
  </si>
  <si>
    <t>https://ebookcentral.proquest.com/lib/cam/detail.action?docID=4694750</t>
  </si>
  <si>
    <t>India China : Rethinking Borders and Security</t>
  </si>
  <si>
    <t>University of Michigan Press</t>
  </si>
  <si>
    <t>DS450</t>
  </si>
  <si>
    <t>https://ebookcentral.proquest.com/lib/cam/detail.action?docID=4710345</t>
  </si>
  <si>
    <t>Integral Conflict : The New Science of Conflict</t>
  </si>
  <si>
    <t>303.6/9</t>
  </si>
  <si>
    <t>HM1126 -- .M348 2016eb</t>
  </si>
  <si>
    <t>https://ebookcentral.proquest.com/lib/cam/detail.action?docID=4514016</t>
  </si>
  <si>
    <t>Commentary on the Apocalypse : Commentary on the Apocalypse</t>
  </si>
  <si>
    <t>https://ebookcentral.proquest.com/lib/cam/detail.action?docID=3134735</t>
  </si>
  <si>
    <t>Spreadable Media : Creating Value and Meaning in a Networked Culture</t>
  </si>
  <si>
    <t>P94.6.J46 2012</t>
  </si>
  <si>
    <t>https://ebookcentral.proquest.com/lib/cam/detail.action?docID=1114591</t>
  </si>
  <si>
    <t>Agitating Images : Photography against History in Indigenous Siberia</t>
  </si>
  <si>
    <t>323.1194/1</t>
  </si>
  <si>
    <t>DK759.E83 -- .C36 2014eb</t>
  </si>
  <si>
    <t>https://ebookcentral.proquest.com/lib/cam/detail.action?docID=1770127</t>
  </si>
  <si>
    <t>Doctoring the South : Southern Physicians and Everyday Medicine in the Mid-Nineteenth Century</t>
  </si>
  <si>
    <t>610/.975/09034</t>
  </si>
  <si>
    <t>R154.5.S68 -- .S769 2004eb</t>
  </si>
  <si>
    <t>https://ebookcentral.proquest.com/lib/cam/detail.action?docID=4322036</t>
  </si>
  <si>
    <t>In the Wake of the Poetic : Palestinian Artists after Darwish</t>
  </si>
  <si>
    <t>892.7/16</t>
  </si>
  <si>
    <t>PJ7820.A7Z8265 2015</t>
  </si>
  <si>
    <t>https://ebookcentral.proquest.com/lib/cam/detail.action?docID=4649168</t>
  </si>
  <si>
    <t>Track Two Diplomacy in Theory and Practice</t>
  </si>
  <si>
    <t>JZ1305+</t>
  </si>
  <si>
    <t>https://ebookcentral.proquest.com/lib/cam/detail.action?docID=3568969</t>
  </si>
  <si>
    <t>Encounters with Godard : Ethics, Aesthetics, Politics</t>
  </si>
  <si>
    <t>PN1998.3.G63W55 2016</t>
  </si>
  <si>
    <t>https://ebookcentral.proquest.com/lib/cam/detail.action?docID=4528792</t>
  </si>
  <si>
    <t>With Mortal Voice : The Creation of Paradise Lost</t>
  </si>
  <si>
    <t>PR3562.S48 1982eb</t>
  </si>
  <si>
    <t>https://ebookcentral.proquest.com/lib/cam/detail.action?docID=1915908</t>
  </si>
  <si>
    <t>The Valiant Woman : The Virgin Mary in Nineteenth-Century American Culture</t>
  </si>
  <si>
    <t>232.910973/09034</t>
  </si>
  <si>
    <t>BT603.A48 2016</t>
  </si>
  <si>
    <t>https://ebookcentral.proquest.com/lib/cam/detail.action?docID=4443591</t>
  </si>
  <si>
    <t>Chronicle of Alfonso X</t>
  </si>
  <si>
    <t>946/.03</t>
  </si>
  <si>
    <t>DP140.3.C76 2002eb</t>
  </si>
  <si>
    <t>https://ebookcentral.proquest.com/lib/cam/detail.action?docID=1915401</t>
  </si>
  <si>
    <t>Social Identities in the Classic Maya Northern Lowlands : Gender, Age, Memory, and Place</t>
  </si>
  <si>
    <t>305.897/4207265</t>
  </si>
  <si>
    <t>F1435.3.S68 -- .A73 2015eb</t>
  </si>
  <si>
    <t>https://ebookcentral.proquest.com/lib/cam/detail.action?docID=3571915</t>
  </si>
  <si>
    <t>Disability and Mothering : Liminal Spaces of Embodied Knowledge</t>
  </si>
  <si>
    <t>306.874/3087</t>
  </si>
  <si>
    <t>HQ759.913 -- .D57 2011eb</t>
  </si>
  <si>
    <t>https://ebookcentral.proquest.com/lib/cam/detail.action?docID=3410166</t>
  </si>
  <si>
    <t>Masculinities in Chinese History</t>
  </si>
  <si>
    <t>HQ1090.7.C6 -- H56 2013eb</t>
  </si>
  <si>
    <t>https://ebookcentral.proquest.com/lib/cam/detail.action?docID=1369088</t>
  </si>
  <si>
    <t>Language for Specific Purposes : Trends in Curriculum Development</t>
  </si>
  <si>
    <t>P120.S9.L364 2017</t>
  </si>
  <si>
    <t>https://ebookcentral.proquest.com/lib/cam/detail.action?docID=4857655</t>
  </si>
  <si>
    <t>African Americans Against the Bomb : Nuclear Weapons, Colonialism, and the Black Freedom Movement</t>
  </si>
  <si>
    <t>https://ebookcentral.proquest.com/lib/cam/detail.action?docID=1921012</t>
  </si>
  <si>
    <t>Civil Society and World Regions : How Citizens Are Reshaping Regional Governance in Times of Crisis</t>
  </si>
  <si>
    <t>JC337 -- .C347 2014eb</t>
  </si>
  <si>
    <t>https://ebookcentral.proquest.com/lib/cam/detail.action?docID=1583571</t>
  </si>
  <si>
    <t>Strategies for Theory : From Marx to Madonna</t>
  </si>
  <si>
    <t>B842 -- .S77 2003eb</t>
  </si>
  <si>
    <t>https://ebookcentral.proquest.com/lib/cam/detail.action?docID=3408599</t>
  </si>
  <si>
    <t>Nixon's Back Channel to Moscow : Confidential Diplomacy and Détente</t>
  </si>
  <si>
    <t>E183.8.S65.M677 2017</t>
  </si>
  <si>
    <t>https://ebookcentral.proquest.com/lib/cam/detail.action?docID=4778928</t>
  </si>
  <si>
    <t>The Poetics of Ruins in Renaissance Literature</t>
  </si>
  <si>
    <t>PN1181.H85 2016</t>
  </si>
  <si>
    <t>https://ebookcentral.proquest.com/lib/cam/detail.action?docID=4681108</t>
  </si>
  <si>
    <t>Scott the Rhymer</t>
  </si>
  <si>
    <t>PR5343.P63.G66 1988</t>
  </si>
  <si>
    <t>https://ebookcentral.proquest.com/lib/cam/detail.action?docID=1915637</t>
  </si>
  <si>
    <t>Treatises on Marriage and Other Subjects : Treatises on Marriage and Other Subjects</t>
  </si>
  <si>
    <t>https://ebookcentral.proquest.com/lib/cam/detail.action?docID=3134808</t>
  </si>
  <si>
    <t>The Experiential Caribbean : Creating Knowledge and Healing in the Early Modern Atlantic</t>
  </si>
  <si>
    <t>GR120.G664 2017</t>
  </si>
  <si>
    <t>https://ebookcentral.proquest.com/lib/cam/detail.action?docID=4821057</t>
  </si>
  <si>
    <t>Shakespearean Metaphysics</t>
  </si>
  <si>
    <t>PR3001 -- .W58 2008eb</t>
  </si>
  <si>
    <t>https://ebookcentral.proquest.com/lib/cam/detail.action?docID=602021</t>
  </si>
  <si>
    <t>The Hungarian Patient : Social Opposition to an Illiberal Democracy</t>
  </si>
  <si>
    <t>HN420.5.A8 -- .H858 2015eb</t>
  </si>
  <si>
    <t>https://ebookcentral.proquest.com/lib/cam/detail.action?docID=4443153</t>
  </si>
  <si>
    <t>A Cole Porter Companion</t>
  </si>
  <si>
    <t>782.1/4092</t>
  </si>
  <si>
    <t>https://ebookcentral.proquest.com/lib/cam/detail.action?docID=4443539</t>
  </si>
  <si>
    <t>Future : Economic Peril or Prosperity?</t>
  </si>
  <si>
    <t>Independent Institute</t>
  </si>
  <si>
    <t>HB3730 -- .F88 2016 eb</t>
  </si>
  <si>
    <t>https://ebookcentral.proquest.com/lib/cam/detail.action?docID=4587027</t>
  </si>
  <si>
    <t>Gaston Bachelard, Revised and Updated : Philosopher of Science and Imagination</t>
  </si>
  <si>
    <t>B2430.B254 -- .S658 2016eb</t>
  </si>
  <si>
    <t>https://ebookcentral.proquest.com/lib/cam/detail.action?docID=4557287</t>
  </si>
  <si>
    <t>Investigating Interdisciplinary Collaboration : Theory and Practice Across Disciplines</t>
  </si>
  <si>
    <t>BD255.I584 2017</t>
  </si>
  <si>
    <t>https://ebookcentral.proquest.com/lib/cam/detail.action?docID=4769214</t>
  </si>
  <si>
    <t>Ludmila Ulitskaya and the Art of Tolerance</t>
  </si>
  <si>
    <t>891.73/5</t>
  </si>
  <si>
    <t>PG3489</t>
  </si>
  <si>
    <t>https://ebookcentral.proquest.com/lib/cam/detail.action?docID=3445457</t>
  </si>
  <si>
    <t>The Causal Exclusion Problem</t>
  </si>
  <si>
    <t>BD541 -- .M55 2014eb</t>
  </si>
  <si>
    <t>https://ebookcentral.proquest.com/lib/cam/detail.action?docID=1689208</t>
  </si>
  <si>
    <t>Members of His Body : Shakespeare, Paul, and a Theology of Nonmonogamy</t>
  </si>
  <si>
    <t>PR3012.S763 2017</t>
  </si>
  <si>
    <t>https://ebookcentral.proquest.com/lib/cam/detail.action?docID=4821730</t>
  </si>
  <si>
    <t>On Slowness : Toward an Aesthetic of the Contemporary</t>
  </si>
  <si>
    <t>BH39 -- .K5877 2014eb</t>
  </si>
  <si>
    <t>https://ebookcentral.proquest.com/lib/cam/detail.action?docID=1801720</t>
  </si>
  <si>
    <t>How the West Came to Rule : The Geopolitical Origins of Capitalism</t>
  </si>
  <si>
    <t>HB501 -- .A554 2015eb</t>
  </si>
  <si>
    <t>https://ebookcentral.proquest.com/lib/cam/detail.action?docID=3440443</t>
  </si>
  <si>
    <t>The Storm at Sea : Political Aesthetics in the Time of Shakespeare</t>
  </si>
  <si>
    <t>PR3017.P94 2015</t>
  </si>
  <si>
    <t>https://ebookcentral.proquest.com/lib/cam/detail.action?docID=4803916</t>
  </si>
  <si>
    <t>Europe after Wyclif</t>
  </si>
  <si>
    <t>BR735.E8873 2017</t>
  </si>
  <si>
    <t>https://ebookcentral.proquest.com/lib/cam/detail.action?docID=4792592</t>
  </si>
  <si>
    <t>Human Dignity and the Future of Global Institutions</t>
  </si>
  <si>
    <t>JC571 -- .H762 2014eb</t>
  </si>
  <si>
    <t>https://ebookcentral.proquest.com/lib/cam/detail.action?docID=1809044</t>
  </si>
  <si>
    <t>The Uncanny House in Elizabeth Bowen’s Fiction</t>
  </si>
  <si>
    <t>PR6003.O6757 -- .L986 2016eb</t>
  </si>
  <si>
    <t>https://ebookcentral.proquest.com/lib/cam/detail.action?docID=4443259</t>
  </si>
  <si>
    <t>Democracy Disfigured : Opinion, Truth, and the People</t>
  </si>
  <si>
    <t>JC423</t>
  </si>
  <si>
    <t>https://ebookcentral.proquest.com/lib/cam/detail.action?docID=3301411</t>
  </si>
  <si>
    <t>Beautiful Wasteland : The Rise of Detroit as America's Postindustrial Frontier</t>
  </si>
  <si>
    <t>977.4/34</t>
  </si>
  <si>
    <t>F574.D44.K566 2016</t>
  </si>
  <si>
    <t>https://ebookcentral.proquest.com/lib/cam/detail.action?docID=4525990</t>
  </si>
  <si>
    <t>Chora of Metaponto 5 : A Greek Farmhouse at Ponte Fabrizio</t>
  </si>
  <si>
    <t>937/.773</t>
  </si>
  <si>
    <t>DG70.M52 -- .L358 2014eb</t>
  </si>
  <si>
    <t>https://ebookcentral.proquest.com/lib/cam/detail.action?docID=3571787</t>
  </si>
  <si>
    <t>Defending White Democracy : The Making of a Segregationist Movement and the Remaking of Racial Politics, 1936-1965</t>
  </si>
  <si>
    <t>F220.A1 -- .W373 2011eb</t>
  </si>
  <si>
    <t>https://ebookcentral.proquest.com/lib/cam/detail.action?docID=4321984</t>
  </si>
  <si>
    <t>Meaning-Making, Internalized Racism, and African American Identity</t>
  </si>
  <si>
    <t>E185.625.M436 2016</t>
  </si>
  <si>
    <t>https://ebookcentral.proquest.com/lib/cam/detail.action?docID=4676272</t>
  </si>
  <si>
    <t>The Urban Social History of the Middle East, 1750-1950</t>
  </si>
  <si>
    <t>HT147.M53</t>
  </si>
  <si>
    <t>https://ebookcentral.proquest.com/lib/cam/detail.action?docID=4649159</t>
  </si>
  <si>
    <t>Bikini-Ready Moms : Celebrity Profiles, Motherhood, and the Body</t>
  </si>
  <si>
    <t>306.874/3</t>
  </si>
  <si>
    <t>HQ759 -- .H1866 2015eb</t>
  </si>
  <si>
    <t>https://ebookcentral.proquest.com/lib/cam/detail.action?docID=3440510</t>
  </si>
  <si>
    <t>Consorts of the Caliphs : Women and the Court of Baghdad</t>
  </si>
  <si>
    <t>909/.097670109252</t>
  </si>
  <si>
    <t>DS38.4.A2 -- .I263 2015eb</t>
  </si>
  <si>
    <t>https://ebookcentral.proquest.com/lib/cam/detail.action?docID=4188472</t>
  </si>
  <si>
    <t>Chávez’s Legacy : The Transformation from Democracy to a Mafia State</t>
  </si>
  <si>
    <t>F2329.22.C54 -- .C437 2014eb</t>
  </si>
  <si>
    <t>https://ebookcentral.proquest.com/lib/cam/detail.action?docID=1574417</t>
  </si>
  <si>
    <t>The Isthmus of Corinth : Crossroads of the Mediterranean World</t>
  </si>
  <si>
    <t>938/.7</t>
  </si>
  <si>
    <t>DF261</t>
  </si>
  <si>
    <t>https://ebookcentral.proquest.com/lib/cam/detail.action?docID=4675519</t>
  </si>
  <si>
    <t>If God Were a Human Rights Activist</t>
  </si>
  <si>
    <t>BL65</t>
  </si>
  <si>
    <t>https://ebookcentral.proquest.com/lib/cam/detail.action?docID=1997362</t>
  </si>
  <si>
    <t>The Avowal of Difference : Queer Latino American Narratives</t>
  </si>
  <si>
    <t>860.9/353</t>
  </si>
  <si>
    <t>PQ7082.N7 -- S55 2014eb</t>
  </si>
  <si>
    <t>https://ebookcentral.proquest.com/lib/cam/detail.action?docID=3408964</t>
  </si>
  <si>
    <t>The Shadow of Eternity : Belief and Structure in Herbert, Vaughan, and Traherne</t>
  </si>
  <si>
    <t>PR545.M4.S4 1981eb</t>
  </si>
  <si>
    <t>https://ebookcentral.proquest.com/lib/cam/detail.action?docID=1915471</t>
  </si>
  <si>
    <t>My Friendship with Martin Buber</t>
  </si>
  <si>
    <t>B3213.B84.F75 2013eb</t>
  </si>
  <si>
    <t>https://ebookcentral.proquest.com/lib/cam/detail.action?docID=3410131</t>
  </si>
  <si>
    <t>The Europeanization of Cinema : Interzones and Imaginative Communities</t>
  </si>
  <si>
    <t>791.43/094</t>
  </si>
  <si>
    <t>https://ebookcentral.proquest.com/lib/cam/detail.action?docID=3414348</t>
  </si>
  <si>
    <t>New Political Ideas in the Aftermath of the Great War</t>
  </si>
  <si>
    <t>https://ebookcentral.proquest.com/lib/cam/detail.action?docID=4740932</t>
  </si>
  <si>
    <t>Cartography and the Political Imagination : Mapping Community in Colonial Kenya</t>
  </si>
  <si>
    <t>DT433.545.L88M33</t>
  </si>
  <si>
    <t>https://ebookcentral.proquest.com/lib/cam/detail.action?docID=4536795</t>
  </si>
  <si>
    <t>Street Life under a Roof : Youth Homelessness in South Africa</t>
  </si>
  <si>
    <t>305.235086/9420968</t>
  </si>
  <si>
    <t>https://ebookcentral.proquest.com/lib/cam/detail.action?docID=4306041</t>
  </si>
  <si>
    <t>Conspiracy Theory in America</t>
  </si>
  <si>
    <t>E839.5 -- .D44 2013eb</t>
  </si>
  <si>
    <t>https://ebookcentral.proquest.com/lib/cam/detail.action?docID=3443664</t>
  </si>
  <si>
    <t>Modal Epistemology after Rationalism</t>
  </si>
  <si>
    <t>https://ebookcentral.proquest.com/lib/cam/detail.action?docID=4740959</t>
  </si>
  <si>
    <t>Tyranny of Silence</t>
  </si>
  <si>
    <t>Cato Institute</t>
  </si>
  <si>
    <t>323.44/3</t>
  </si>
  <si>
    <t>JC591 -- .R67 2014eb</t>
  </si>
  <si>
    <t>https://ebookcentral.proquest.com/lib/cam/detail.action?docID=1829446</t>
  </si>
  <si>
    <t>The Wild That Attracts Us : New Critical Essays on Robinson Jeffers</t>
  </si>
  <si>
    <t>PS3519.E27 -- .W553 2015eb</t>
  </si>
  <si>
    <t>https://ebookcentral.proquest.com/lib/cam/detail.action?docID=1865279</t>
  </si>
  <si>
    <t>Developing and Assessing Academic and Professional Writing Skills</t>
  </si>
  <si>
    <t>P301.5.A27 -- .D45 2016eb</t>
  </si>
  <si>
    <t>https://ebookcentral.proquest.com/lib/cam/detail.action?docID=4500398</t>
  </si>
  <si>
    <t>The Fenians : Irish Rebellion in the North Atlantic World, 1858-1876</t>
  </si>
  <si>
    <t>University of Tennessee Press</t>
  </si>
  <si>
    <t>DA954</t>
  </si>
  <si>
    <t>https://ebookcentral.proquest.com/lib/cam/detail.action?docID=1311406</t>
  </si>
  <si>
    <t>Organized Crime, Corruption and Crime Prevention : Essays in Honor of Ernesto U. Savona</t>
  </si>
  <si>
    <t>https://ebookcentral.proquest.com/lib/cam/detail.action?docID=1592273</t>
  </si>
  <si>
    <t>From Gluttony to Enlightenment : The World of Taste in Early Modern Europe</t>
  </si>
  <si>
    <t>https://ebookcentral.proquest.com/lib/cam/detail.action?docID=4792707</t>
  </si>
  <si>
    <t>Income Inequality : Economic Disparities and the Middle Class in Affluent Countries</t>
  </si>
  <si>
    <t>HC79</t>
  </si>
  <si>
    <t>https://ebookcentral.proquest.com/lib/cam/detail.action?docID=1245622</t>
  </si>
  <si>
    <t>Erasmus's Life of Origen</t>
  </si>
  <si>
    <t>BR1720</t>
  </si>
  <si>
    <t>https://ebookcentral.proquest.com/lib/cam/detail.action?docID=4536028</t>
  </si>
  <si>
    <t>Curated Decay : Heritage beyond Saving</t>
  </si>
  <si>
    <t>CC175.D475 2017</t>
  </si>
  <si>
    <t>https://ebookcentral.proquest.com/lib/cam/detail.action?docID=4745550</t>
  </si>
  <si>
    <t>Reconstruction : Interpreting American History</t>
  </si>
  <si>
    <t>E668.I584 2016eb</t>
  </si>
  <si>
    <t>https://ebookcentral.proquest.com/lib/cam/detail.action?docID=4616239</t>
  </si>
  <si>
    <t>Storyworlds across Media : Toward a Media-Conscious Narratology</t>
  </si>
  <si>
    <t>Nebraska Paperback</t>
  </si>
  <si>
    <t>P96.N35 -- .S86 2014eb</t>
  </si>
  <si>
    <t>https://ebookcentral.proquest.com/lib/cam/detail.action?docID=1693625</t>
  </si>
  <si>
    <t>City of Noise : Sound and Nineteenth-Century Paris</t>
  </si>
  <si>
    <t>944/.36106</t>
  </si>
  <si>
    <t>DC733</t>
  </si>
  <si>
    <t>https://ebookcentral.proquest.com/lib/cam/detail.action?docID=3414450</t>
  </si>
  <si>
    <t>Phantom Limbs : On Musical Bodies</t>
  </si>
  <si>
    <t>ML3800.S946 2016</t>
  </si>
  <si>
    <t>https://ebookcentral.proquest.com/lib/cam/detail.action?docID=4803928</t>
  </si>
  <si>
    <t>Quest for Eros : Browning And 'Fifine'</t>
  </si>
  <si>
    <t>PR4222.F53.S6 1980eb</t>
  </si>
  <si>
    <t>https://ebookcentral.proquest.com/lib/cam/detail.action?docID=1915899</t>
  </si>
  <si>
    <t>Theoretical Approaches to the Archaeology of Ancient Greece : Manipulating Material Culture</t>
  </si>
  <si>
    <t>DF82</t>
  </si>
  <si>
    <t>https://ebookcentral.proquest.com/lib/cam/detail.action?docID=4833062</t>
  </si>
  <si>
    <t>The Liberal Consensus Reconsidered : American Politics and Society in the Postwar Era</t>
  </si>
  <si>
    <t>E813.L534 2017</t>
  </si>
  <si>
    <t>https://ebookcentral.proquest.com/lib/cam/detail.action?docID=4825781</t>
  </si>
  <si>
    <t>Imagining Autism : Fiction and Stereotypes on the Spectrum</t>
  </si>
  <si>
    <t>PN3426.A87L64 2015</t>
  </si>
  <si>
    <t>https://ebookcentral.proquest.com/lib/cam/detail.action?docID=4004135</t>
  </si>
  <si>
    <t>Socialist Way of Life in Siberia : Transformation in Buryatia</t>
  </si>
  <si>
    <t>957/.5</t>
  </si>
  <si>
    <t>DK759.B8 -- .C45 2014eb</t>
  </si>
  <si>
    <t>https://ebookcentral.proquest.com/lib/cam/detail.action?docID=3137372</t>
  </si>
  <si>
    <t>What Good Is Grand Strategy? : Power and Purpose in American Statecraft from Harry S. Truman to George W. Bush</t>
  </si>
  <si>
    <t>E744</t>
  </si>
  <si>
    <t>https://ebookcentral.proquest.com/lib/cam/detail.action?docID=3138564</t>
  </si>
  <si>
    <t>Manual of Ugaritic</t>
  </si>
  <si>
    <t>PJ4150 -- .B5913 2009eb</t>
  </si>
  <si>
    <t>https://ebookcentral.proquest.com/lib/cam/detail.action?docID=3155604</t>
  </si>
  <si>
    <t>Making Other Worlds Possible : Performing Diverse Economies</t>
  </si>
  <si>
    <t>HD75 -- .M2467 2015eb</t>
  </si>
  <si>
    <t>https://ebookcentral.proquest.com/lib/cam/detail.action?docID=1977411</t>
  </si>
  <si>
    <t>Origins of the Dream : Hughes's Poetry and King's Rhetoric</t>
  </si>
  <si>
    <t>PS3515.U274 -- .M555 2015eb</t>
  </si>
  <si>
    <t>https://ebookcentral.proquest.com/lib/cam/detail.action?docID=1912986</t>
  </si>
  <si>
    <t>Latin American Positivism : New Historical and Philosophic Essays</t>
  </si>
  <si>
    <t>B1008.P6 -- L38 2013eb</t>
  </si>
  <si>
    <t>https://ebookcentral.proquest.com/lib/cam/detail.action?docID=1120208</t>
  </si>
  <si>
    <t>Anthropocene Feminism</t>
  </si>
  <si>
    <t>GN33.8.A67 2017</t>
  </si>
  <si>
    <t>https://ebookcentral.proquest.com/lib/cam/detail.action?docID=4745552</t>
  </si>
  <si>
    <t>Friend or Foe? Dominant party systems in southern Africa : Insights from the developing world</t>
  </si>
  <si>
    <t>JQ2720.A979 -- .F754 2013eb</t>
  </si>
  <si>
    <t>https://ebookcentral.proquest.com/lib/cam/detail.action?docID=4307012</t>
  </si>
  <si>
    <t>Silent Cinema and the Politics of Space</t>
  </si>
  <si>
    <t>791.4302/5</t>
  </si>
  <si>
    <t>PN1995.75.S557 2014</t>
  </si>
  <si>
    <t>https://ebookcentral.proquest.com/lib/cam/detail.action?docID=1656062</t>
  </si>
  <si>
    <t>The Imagined Empire : Balloon Enlightenments in Revolutionary Europe</t>
  </si>
  <si>
    <t>Social Science; Engineering: Mechanical; Engineering</t>
  </si>
  <si>
    <t>303.48/32</t>
  </si>
  <si>
    <t>TL618</t>
  </si>
  <si>
    <t>https://ebookcentral.proquest.com/lib/cam/detail.action?docID=4819929</t>
  </si>
  <si>
    <t>Challenges to Chinese Foreign Policy : Diplomacy, Globalization, and the Next World Power</t>
  </si>
  <si>
    <t>JZ1734 -- .C47 2009eb</t>
  </si>
  <si>
    <t>https://ebookcentral.proquest.com/lib/cam/detail.action?docID=1914945</t>
  </si>
  <si>
    <t>Rethinking Reference for Academic Libraries : Innovative Developments and Future Trends</t>
  </si>
  <si>
    <t>Z675.U5 -- R4567 2015eb</t>
  </si>
  <si>
    <t>https://ebookcentral.proquest.com/lib/cam/detail.action?docID=1890568</t>
  </si>
  <si>
    <t>Subtle Activism : The Inner Dimension of Social and Planetary Transformation</t>
  </si>
  <si>
    <t>BF204.7 -- .N536 2015eb</t>
  </si>
  <si>
    <t>https://ebookcentral.proquest.com/lib/cam/detail.action?docID=4396570</t>
  </si>
  <si>
    <t>This Land, This South : An Environmental History</t>
  </si>
  <si>
    <t>Environmental Studies; Economics</t>
  </si>
  <si>
    <t>333.73/0975</t>
  </si>
  <si>
    <t>GF504.S68 -- .C693 1996eb</t>
  </si>
  <si>
    <t>https://ebookcentral.proquest.com/lib/cam/detail.action?docID=1915329</t>
  </si>
  <si>
    <t>Hostility in the House of God : An Investigation of the Opponents in 1 and 2 Timothy</t>
  </si>
  <si>
    <t>BS2745.52.T46 2016</t>
  </si>
  <si>
    <t>https://ebookcentral.proquest.com/lib/cam/detail.action?docID=4772167</t>
  </si>
  <si>
    <t>Ludovico Marracci at work : The evolution of his Latin translation of the Qurʾān in the light of his newly discovered manuscripts. With an edition and a comparative linguistic analysis of Sura 18</t>
  </si>
  <si>
    <t>PJ6073 -- .G545 2016eb</t>
  </si>
  <si>
    <t>https://ebookcentral.proquest.com/lib/cam/detail.action?docID=4526958</t>
  </si>
  <si>
    <t>Sexography : Sex Work in Documentary</t>
  </si>
  <si>
    <t>PN1995.9.S47.D48 2017</t>
  </si>
  <si>
    <t>https://ebookcentral.proquest.com/lib/cam/detail.action?docID=4745529</t>
  </si>
  <si>
    <t>How to Be an Intellectual : Essays on Criticism, Culture, and the University</t>
  </si>
  <si>
    <t>801/.950973</t>
  </si>
  <si>
    <t>PN99.U5 -- .W55 2014eb</t>
  </si>
  <si>
    <t>https://ebookcentral.proquest.com/lib/cam/detail.action?docID=3239918</t>
  </si>
  <si>
    <t>Family and Household Religion : Toward a Synthesis of Old Testament Studies, Archaeology, Epigraphy, and Cultural Studies</t>
  </si>
  <si>
    <t>296.7/409014</t>
  </si>
  <si>
    <t>BS1199.F32 -- .F365 2014eb</t>
  </si>
  <si>
    <t>https://ebookcentral.proquest.com/lib/cam/detail.action?docID=3155704</t>
  </si>
  <si>
    <t>Deviant Women : Cultural, Linguistic and Literary Approaches to Narratives of Femininity</t>
  </si>
  <si>
    <t>PN56.F4 -- .D49 2015eb</t>
  </si>
  <si>
    <t>https://ebookcentral.proquest.com/lib/cam/detail.action?docID=1920938</t>
  </si>
  <si>
    <t>Migration and Disruptions : Toward a Unifying Theory of Ancient and Contemporary Migrations</t>
  </si>
  <si>
    <t>GN370.M52 2015</t>
  </si>
  <si>
    <t>https://ebookcentral.proquest.com/lib/cam/detail.action?docID=2125193</t>
  </si>
  <si>
    <t>Brains Confounded by the Ode of Abū Shādūf Expounded : Volume One</t>
  </si>
  <si>
    <t>HN786.A8 -- .A4 2016eb</t>
  </si>
  <si>
    <t>https://ebookcentral.proquest.com/lib/cam/detail.action?docID=4045279</t>
  </si>
  <si>
    <t>John Milton : The Self and the World</t>
  </si>
  <si>
    <t>PR3581 -- .S5 1993eb</t>
  </si>
  <si>
    <t>https://ebookcentral.proquest.com/lib/cam/detail.action?docID=1915214</t>
  </si>
  <si>
    <t>Building Dignified Worlds : Geographies of Collective Action</t>
  </si>
  <si>
    <t>HM881.R64 2016</t>
  </si>
  <si>
    <t>https://ebookcentral.proquest.com/lib/cam/detail.action?docID=4392080</t>
  </si>
  <si>
    <t>French Mediterraneans : Transnational and Imperial Histories</t>
  </si>
  <si>
    <t>DE85.5.F8F74 2016</t>
  </si>
  <si>
    <t>https://ebookcentral.proquest.com/lib/cam/detail.action?docID=4456534</t>
  </si>
  <si>
    <t>Empires' Edge : Militarization, Resistance, and Transcending Hegemony in the Pacific</t>
  </si>
  <si>
    <t>355/.033095</t>
  </si>
  <si>
    <t>DU68.D48 -- D38 2015eb</t>
  </si>
  <si>
    <t>https://ebookcentral.proquest.com/lib/cam/detail.action?docID=1836113</t>
  </si>
  <si>
    <t>Retrieving the Human : Reading Paul Gilroy</t>
  </si>
  <si>
    <t>HT1521 -- .R458 2014eb</t>
  </si>
  <si>
    <t>https://ebookcentral.proquest.com/lib/cam/detail.action?docID=3408924</t>
  </si>
  <si>
    <t>The Color of Christ : The Son of God and the Saga of Race in America</t>
  </si>
  <si>
    <t>BR515 -- .B586 2012eb</t>
  </si>
  <si>
    <t>https://ebookcentral.proquest.com/lib/cam/detail.action?docID=4321953</t>
  </si>
  <si>
    <t>A Heritage of Ruins : The Ancient Sites of Southeast Asia and Their Conservation</t>
  </si>
  <si>
    <t>DS523 -- .C47 2013eb</t>
  </si>
  <si>
    <t>https://ebookcentral.proquest.com/lib/cam/detail.action?docID=3413459</t>
  </si>
  <si>
    <t>Ghana on the Go : African Mobility in the Age of Motor Transportation</t>
  </si>
  <si>
    <t>HE5707.8.A6.H37 2016</t>
  </si>
  <si>
    <t>https://ebookcentral.proquest.com/lib/cam/detail.action?docID=4721240</t>
  </si>
  <si>
    <t>Germaine Dulac : A Cinema of Sensations</t>
  </si>
  <si>
    <t>791.4302/33092 B</t>
  </si>
  <si>
    <t>https://ebookcentral.proquest.com/lib/cam/detail.action?docID=3414364</t>
  </si>
  <si>
    <t>The Left's Jewish Problem : Jeremy Corbyn, Israel and Anti-Semitism</t>
  </si>
  <si>
    <t>DS146.G7.R534 2016</t>
  </si>
  <si>
    <t>https://ebookcentral.proquest.com/lib/cam/detail.action?docID=4783144</t>
  </si>
  <si>
    <t>Native American Whalemen and the World : Indigenous Encounters and the Contingency of Race</t>
  </si>
  <si>
    <t>E78.N5 -- .S564 2015eb</t>
  </si>
  <si>
    <t>https://ebookcentral.proquest.com/lib/cam/detail.action?docID=3039544</t>
  </si>
  <si>
    <t>Simming : Participatory Performance and the Making of Meaning</t>
  </si>
  <si>
    <t>D16</t>
  </si>
  <si>
    <t>https://ebookcentral.proquest.com/lib/cam/detail.action?docID=3570545</t>
  </si>
  <si>
    <t>Precarious Worlds : Contested Geographies of Social Reproduction</t>
  </si>
  <si>
    <t>HQ1381 -- .P74 2015eb</t>
  </si>
  <si>
    <t>https://ebookcentral.proquest.com/lib/cam/detail.action?docID=4397169</t>
  </si>
  <si>
    <t>Insurgent, Poet, Mystic, Sectarian : The Four Masks of an Eastern Postmodernism</t>
  </si>
  <si>
    <t>808/.9113</t>
  </si>
  <si>
    <t>PN98.P67 -- .M64 2015eb</t>
  </si>
  <si>
    <t>https://ebookcentral.proquest.com/lib/cam/detail.action?docID=3440487</t>
  </si>
  <si>
    <t>The Marriage Plot : Or, How Jews Fell in Love with Love, and with Literature</t>
  </si>
  <si>
    <t>https://ebookcentral.proquest.com/lib/cam/detail.action?docID=4558537</t>
  </si>
  <si>
    <t>Stories in Red and Black : Pictorial Histories of the Aztecs and Mixtecs</t>
  </si>
  <si>
    <t>F1219.54.A98 -- B66 2000eb</t>
  </si>
  <si>
    <t>https://ebookcentral.proquest.com/lib/cam/detail.action?docID=3443505</t>
  </si>
  <si>
    <t>Sex Robots : The Future of Desire</t>
  </si>
  <si>
    <t>https://ebookcentral.proquest.com/lib/cam/detail.action?docID=4791279</t>
  </si>
  <si>
    <t>The Ideal Bishop</t>
  </si>
  <si>
    <t>BV670</t>
  </si>
  <si>
    <t>https://ebookcentral.proquest.com/lib/cam/detail.action?docID=4792677</t>
  </si>
  <si>
    <t>Bridges to Cuba/Puentes a Cuba</t>
  </si>
  <si>
    <t>810.8/08687291</t>
  </si>
  <si>
    <t>PS3569.U18 -- .B753 2015eb</t>
  </si>
  <si>
    <t>https://ebookcentral.proquest.com/lib/cam/detail.action?docID=4437928</t>
  </si>
  <si>
    <t>The Art of Conversion : Christian Visual Culture in the Kingdom of Kongo</t>
  </si>
  <si>
    <t>BR1470.K66 -- .F766 2014eb</t>
  </si>
  <si>
    <t>https://ebookcentral.proquest.com/lib/cam/detail.action?docID=4322235</t>
  </si>
  <si>
    <t>Africa at a Crossroads : Overcoming the Obstacles to Sustained Growth and Economic Transformation</t>
  </si>
  <si>
    <t>HC800 -- .C665 2014eb</t>
  </si>
  <si>
    <t>https://ebookcentral.proquest.com/lib/cam/detail.action?docID=1691232</t>
  </si>
  <si>
    <t>Isis : A History</t>
  </si>
  <si>
    <t>HV6433.I722 -- .G474 2016eb</t>
  </si>
  <si>
    <t>https://ebookcentral.proquest.com/lib/cam/detail.action?docID=4429091</t>
  </si>
  <si>
    <t>Tracing China : A Forty-Year Ethnographic Journey</t>
  </si>
  <si>
    <t>DS735.S58 2016</t>
  </si>
  <si>
    <t>https://ebookcentral.proquest.com/lib/cam/detail.action?docID=4592532</t>
  </si>
  <si>
    <t>Changing the Subject : Mary Wroth and Figurations of Gender in Early Modern England</t>
  </si>
  <si>
    <t>PR2399.W7.M555 1996</t>
  </si>
  <si>
    <t>https://ebookcentral.proquest.com/lib/cam/detail.action?docID=1915397</t>
  </si>
  <si>
    <t>Staged Seduction : Selling Dreams in a Tokyo Host Club</t>
  </si>
  <si>
    <t>392.60952/135</t>
  </si>
  <si>
    <t>GT2600</t>
  </si>
  <si>
    <t>https://ebookcentral.proquest.com/lib/cam/detail.action?docID=4455206</t>
  </si>
  <si>
    <t>Embodied Resistance : Challenging the Norms, Breaking the Rules</t>
  </si>
  <si>
    <t>HM636 -- .E423 2011eb</t>
  </si>
  <si>
    <t>https://ebookcentral.proquest.com/lib/cam/detail.action?docID=3040091</t>
  </si>
  <si>
    <t>Materialism: a Historico-Philosophical Introduction</t>
  </si>
  <si>
    <t>https://ebookcentral.proquest.com/lib/cam/detail.action?docID=4313079</t>
  </si>
  <si>
    <t>General Principles of Sacramental Theology</t>
  </si>
  <si>
    <t>234/.16</t>
  </si>
  <si>
    <t>BX2200</t>
  </si>
  <si>
    <t>https://ebookcentral.proquest.com/lib/cam/detail.action?docID=4811260</t>
  </si>
  <si>
    <t>Aspects of Psychologism</t>
  </si>
  <si>
    <t>BF41</t>
  </si>
  <si>
    <t>https://ebookcentral.proquest.com/lib/cam/detail.action?docID=3301370</t>
  </si>
  <si>
    <t>Demography and Degeneration : Eugenics and the Declining Birthrate in Twentieth-Century Britain</t>
  </si>
  <si>
    <t>303.6/34/0941</t>
  </si>
  <si>
    <t>HQ755.5.G7 S65 1990</t>
  </si>
  <si>
    <t>https://ebookcentral.proquest.com/lib/cam/detail.action?docID=1663495</t>
  </si>
  <si>
    <t>Beyond Marginality : Anglo-Jewish Literature after the Holocaust</t>
  </si>
  <si>
    <t>820/.9/8924</t>
  </si>
  <si>
    <t>PR120.J48 -- S53 1985eb</t>
  </si>
  <si>
    <t>https://ebookcentral.proquest.com/lib/cam/detail.action?docID=3408230</t>
  </si>
  <si>
    <t>Gender and Law in the Japanese Imperium</t>
  </si>
  <si>
    <t>HQ1236.5.J3 -- G46 2014eb</t>
  </si>
  <si>
    <t>https://ebookcentral.proquest.com/lib/cam/detail.action?docID=3413590</t>
  </si>
  <si>
    <t>William James : Psychical Research and the Challenge of Modernity</t>
  </si>
  <si>
    <t>BF1028.K537 2017</t>
  </si>
  <si>
    <t>https://ebookcentral.proquest.com/lib/cam/detail.action?docID=4821058</t>
  </si>
  <si>
    <t>The Full Severity of Compassion : The Poetry of Yehuda Amichai</t>
  </si>
  <si>
    <t>892.41/6</t>
  </si>
  <si>
    <t>PJ5054</t>
  </si>
  <si>
    <t>https://ebookcentral.proquest.com/lib/cam/detail.action?docID=4414768</t>
  </si>
  <si>
    <t>Asian Muslim Women : Globalization and Local Realities</t>
  </si>
  <si>
    <t>305.48/697</t>
  </si>
  <si>
    <t>HQ1170 -- .A798 2015eb</t>
  </si>
  <si>
    <t>https://ebookcentral.proquest.com/lib/cam/detail.action?docID=4396575</t>
  </si>
  <si>
    <t>Reading Deconstruction/Deconstructive Reading</t>
  </si>
  <si>
    <t>PN98.D43 -- .A84 1983eb</t>
  </si>
  <si>
    <t>https://ebookcentral.proquest.com/lib/cam/detail.action?docID=1915268</t>
  </si>
  <si>
    <t>Men of Capital : Scarcity and Economy in Mandate Palestine</t>
  </si>
  <si>
    <t>330.95694/04</t>
  </si>
  <si>
    <t>https://ebookcentral.proquest.com/lib/cam/detail.action?docID=4414747</t>
  </si>
  <si>
    <t>Hitchcock's Moral Gaze</t>
  </si>
  <si>
    <t>PN1998.3.H58.H5755 2017</t>
  </si>
  <si>
    <t>https://ebookcentral.proquest.com/lib/cam/detail.action?docID=4796330</t>
  </si>
  <si>
    <t>Female Amerindians in Early Modern Spanish Theater</t>
  </si>
  <si>
    <t>PQ6106 -- .F46 2014eb</t>
  </si>
  <si>
    <t>https://ebookcentral.proquest.com/lib/cam/detail.action?docID=1776259</t>
  </si>
  <si>
    <t>The Individual in History : Essays in Honor of Jehuda Reinharz</t>
  </si>
  <si>
    <t>296.6/109</t>
  </si>
  <si>
    <t>BM729</t>
  </si>
  <si>
    <t>https://ebookcentral.proquest.com/lib/cam/detail.action?docID=1882442</t>
  </si>
  <si>
    <t>The Disavowed Community</t>
  </si>
  <si>
    <t>HM711.N363 2016eb</t>
  </si>
  <si>
    <t>https://ebookcentral.proquest.com/lib/cam/detail.action?docID=4603831</t>
  </si>
  <si>
    <t>The Wherewithal of Life : Ethics, Migration, and the Question of Well-Being</t>
  </si>
  <si>
    <t>GN33.J34 2013eb</t>
  </si>
  <si>
    <t>https://ebookcentral.proquest.com/lib/cam/detail.action?docID=1318191</t>
  </si>
  <si>
    <t>Recreational Terror : Women and the Pleasures of Horror Film Viewing</t>
  </si>
  <si>
    <t>791.43/616/082</t>
  </si>
  <si>
    <t>PN1995.9.H6P46 1997</t>
  </si>
  <si>
    <t>https://ebookcentral.proquest.com/lib/cam/detail.action?docID=4429650</t>
  </si>
  <si>
    <t>Photopoetics at Tlatelolco : Afterimages of Mexico, 1968</t>
  </si>
  <si>
    <t>741.6/830973</t>
  </si>
  <si>
    <t>NC1875.U6T456 2015</t>
  </si>
  <si>
    <t>https://ebookcentral.proquest.com/lib/cam/detail.action?docID=4397273</t>
  </si>
  <si>
    <t>Cosmological and Philosophical World of Dante Alighieri : «The Divine Comedy» as a Medieval Vision of the Universe</t>
  </si>
  <si>
    <t>PQ4401</t>
  </si>
  <si>
    <t>https://ebookcentral.proquest.com/lib/cam/detail.action?docID=2048946</t>
  </si>
  <si>
    <t>Dignity for the Voiceless : Willem Assies' Anthropological Work in Context</t>
  </si>
  <si>
    <t>HN110.5.A8 A67 2014</t>
  </si>
  <si>
    <t>https://ebookcentral.proquest.com/lib/cam/detail.action?docID=1375288</t>
  </si>
  <si>
    <t>Post-Crisis Perspectives : The Common and its Powers</t>
  </si>
  <si>
    <t>HB3717 2008 -- .P66 2013eb</t>
  </si>
  <si>
    <t>https://ebookcentral.proquest.com/lib/cam/detail.action?docID=1752945</t>
  </si>
  <si>
    <t>A Practical Guide to Integrating Technology into Task-Based Language Teaching</t>
  </si>
  <si>
    <t>401/.90285</t>
  </si>
  <si>
    <t>P53.28 -- .G669 2015eb</t>
  </si>
  <si>
    <t>https://ebookcentral.proquest.com/lib/cam/detail.action?docID=4395376</t>
  </si>
  <si>
    <t>Georg Simmel and the Disciplinary Imaginary</t>
  </si>
  <si>
    <t>B3329</t>
  </si>
  <si>
    <t>https://ebookcentral.proquest.com/lib/cam/detail.action?docID=4751214</t>
  </si>
  <si>
    <t>Language Change in the Wake of Empire : Syriac in Its Greco-Roman Context</t>
  </si>
  <si>
    <t>492/.32481</t>
  </si>
  <si>
    <t>PJ5415.B88 2016</t>
  </si>
  <si>
    <t>https://ebookcentral.proquest.com/lib/cam/detail.action?docID=4772152</t>
  </si>
  <si>
    <t>Race, Ethnicity and the Women's Movement in England, 1968-1993</t>
  </si>
  <si>
    <t>305.42094209/04</t>
  </si>
  <si>
    <t>https://ebookcentral.proquest.com/lib/cam/detail.action?docID=4719991</t>
  </si>
  <si>
    <t>Obama on the Home Front : Domestic Policy Triumphs and Setbacks</t>
  </si>
  <si>
    <t>E907.G729 2016</t>
  </si>
  <si>
    <t>https://ebookcentral.proquest.com/lib/cam/detail.action?docID=4612537</t>
  </si>
  <si>
    <t>Polish Queer Modernism</t>
  </si>
  <si>
    <t>Language/Linguistics; Literature; Fiction</t>
  </si>
  <si>
    <t>PG7053.H66 -- .S636 2015eb</t>
  </si>
  <si>
    <t>https://ebookcentral.proquest.com/lib/cam/detail.action?docID=4003668</t>
  </si>
  <si>
    <t>Brazil and the Dialectic of Colonization : The Provocative Classic in Its First-Ever English Translation</t>
  </si>
  <si>
    <t>F2510</t>
  </si>
  <si>
    <t>https://ebookcentral.proquest.com/lib/cam/detail.action?docID=3440685</t>
  </si>
  <si>
    <t>Modernizing Practice Paradigms for New Music : Periodization Theory and Peak Performance Exemplified Through Extended Techniques</t>
  </si>
  <si>
    <t>MT340 -- .B675 2016eb</t>
  </si>
  <si>
    <t>https://ebookcentral.proquest.com/lib/cam/detail.action?docID=4526622</t>
  </si>
  <si>
    <t>Being and Becoming : Embodiment and Experience among the Orang Rimba of Sumatra</t>
  </si>
  <si>
    <t>DS632.K78.E454 2016</t>
  </si>
  <si>
    <t>https://ebookcentral.proquest.com/lib/cam/detail.action?docID=4007263</t>
  </si>
  <si>
    <t>Growing Pains : Childhood Illness in Ireland 1750-1950</t>
  </si>
  <si>
    <t>Irish Academic Press</t>
  </si>
  <si>
    <t>RJ103.I73.G76 2013</t>
  </si>
  <si>
    <t>https://ebookcentral.proquest.com/lib/cam/detail.action?docID=3015601</t>
  </si>
  <si>
    <t>Berlin Replayed : Cinema and Urban Nostalgia in the Postwall Era</t>
  </si>
  <si>
    <t>791.430943/155</t>
  </si>
  <si>
    <t>PN1995.9.B47.W34 2015</t>
  </si>
  <si>
    <t>https://ebookcentral.proquest.com/lib/cam/detail.action?docID=4392079</t>
  </si>
  <si>
    <t>Applied Qualitative Research Design : A Total Quality Framework Approach</t>
  </si>
  <si>
    <t>Science; General Works/Reference</t>
  </si>
  <si>
    <t>Q180.55.E4 -- .R655 2015eb</t>
  </si>
  <si>
    <t>https://ebookcentral.proquest.com/lib/cam/detail.action?docID=1823006</t>
  </si>
  <si>
    <t>Merleau-Ponty : Space, Place, Architecture</t>
  </si>
  <si>
    <t>NA2500.M419 2015</t>
  </si>
  <si>
    <t>https://ebookcentral.proquest.com/lib/cam/detail.action?docID=4386510</t>
  </si>
  <si>
    <t>Remixing the Classroom : Toward an Open Philosophy of Music Education</t>
  </si>
  <si>
    <t>MT1 -- .A457 2016eb</t>
  </si>
  <si>
    <t>https://ebookcentral.proquest.com/lib/cam/detail.action?docID=4605928</t>
  </si>
  <si>
    <t>The Shameful State</t>
  </si>
  <si>
    <t>PR9369.3.L3 -- .T367 2016eb</t>
  </si>
  <si>
    <t>https://ebookcentral.proquest.com/lib/cam/detail.action?docID=4004139</t>
  </si>
  <si>
    <t>Anthropology, Economics, and Choice</t>
  </si>
  <si>
    <t>GN448 -- .C47 2011eb</t>
  </si>
  <si>
    <t>https://ebookcentral.proquest.com/lib/cam/detail.action?docID=3443580</t>
  </si>
  <si>
    <t>Civil Society and Politics in Central Asia</t>
  </si>
  <si>
    <t>JQ1086 -- .C57 2015eb</t>
  </si>
  <si>
    <t>https://ebookcentral.proquest.com/lib/cam/detail.action?docID=1887618</t>
  </si>
  <si>
    <t>The Case Against Democracy</t>
  </si>
  <si>
    <t>JK275.M53 2013eb</t>
  </si>
  <si>
    <t>https://ebookcentral.proquest.com/lib/cam/detail.action?docID=1495764</t>
  </si>
  <si>
    <t>Barnstorming the Prairies : How Aerial Vision Shaped the Midwest</t>
  </si>
  <si>
    <t>F354</t>
  </si>
  <si>
    <t>https://ebookcentral.proquest.com/lib/cam/detail.action?docID=4391791</t>
  </si>
  <si>
    <t>Disunity in Christ : Uncovering the Hidden Forces That Keep Us Apart</t>
  </si>
  <si>
    <t>262/.72</t>
  </si>
  <si>
    <t>BV601.5 -- .C54 2013eb</t>
  </si>
  <si>
    <t>https://ebookcentral.proquest.com/lib/cam/detail.action?docID=2009902</t>
  </si>
  <si>
    <t>Depression Folk : Grassroots Music and Left-Wing Politics in 1930s America</t>
  </si>
  <si>
    <t>781.62/13009043</t>
  </si>
  <si>
    <t>ML3917.U6.C644 2016eb</t>
  </si>
  <si>
    <t>https://ebookcentral.proquest.com/lib/cam/detail.action?docID=4525845</t>
  </si>
  <si>
    <t>Strange Adventures : Women’s Individuation in the Works of Pierrette Fleutiaux</t>
  </si>
  <si>
    <t>PQ2666.L43 -- .S473 2016eb</t>
  </si>
  <si>
    <t>https://ebookcentral.proquest.com/lib/cam/detail.action?docID=4500333</t>
  </si>
  <si>
    <t>The Wright Company : From Invention to Industry</t>
  </si>
  <si>
    <t>Engineering: General; Engineering; Business/Management</t>
  </si>
  <si>
    <t>HD9711.U64.R633 201</t>
  </si>
  <si>
    <t>https://ebookcentral.proquest.com/lib/cam/detail.action?docID=1743634</t>
  </si>
  <si>
    <t>Voices of Resistance : Communication and Social Change</t>
  </si>
  <si>
    <t>HN18.3 -- .D88 2012eb</t>
  </si>
  <si>
    <t>https://ebookcentral.proquest.com/lib/cam/detail.action?docID=3119359</t>
  </si>
  <si>
    <t>Revolutionary Cuba : A History</t>
  </si>
  <si>
    <t>972.9106/4</t>
  </si>
  <si>
    <t>F1788 -- .M37 2014eb</t>
  </si>
  <si>
    <t>https://ebookcentral.proquest.com/lib/cam/detail.action?docID=1865074</t>
  </si>
  <si>
    <t>From the Rivers of Babylon to the Highlands of Judah : Collected Studies on the Restoration Period</t>
  </si>
  <si>
    <t>222/.606</t>
  </si>
  <si>
    <t>BS1345.52 -- .J37 2006eb</t>
  </si>
  <si>
    <t>https://ebookcentral.proquest.com/lib/cam/detail.action?docID=3155540</t>
  </si>
  <si>
    <t>Driving the Future : Combating Climate Change with Cleaner, Smarter Cars</t>
  </si>
  <si>
    <t>Arcade Publishing</t>
  </si>
  <si>
    <t>Engineering: Mechanical; Engineering: General; Engineering</t>
  </si>
  <si>
    <t>TL216.5 .O38 2015</t>
  </si>
  <si>
    <t>https://ebookcentral.proquest.com/lib/cam/detail.action?docID=1922402</t>
  </si>
  <si>
    <t>The Struggle to Save the Soviet Economy : Mikhail Gorbachev and the Collapse of the USSR</t>
  </si>
  <si>
    <t>330.947/0854</t>
  </si>
  <si>
    <t>HC336.26.M558 2016</t>
  </si>
  <si>
    <t>https://ebookcentral.proquest.com/lib/cam/detail.action?docID=4525842</t>
  </si>
  <si>
    <t>The Furnace of Affliction : Prisons and Religion in Antebellum America</t>
  </si>
  <si>
    <t>HV8865 -- .G733 2011eb</t>
  </si>
  <si>
    <t>https://ebookcentral.proquest.com/lib/cam/detail.action?docID=4322015</t>
  </si>
  <si>
    <t>Plato's Socrates as Narrator : A Philosophical Muse</t>
  </si>
  <si>
    <t>B395 -- .S38 2013eb</t>
  </si>
  <si>
    <t>https://ebookcentral.proquest.com/lib/cam/detail.action?docID=1203934</t>
  </si>
  <si>
    <t>Bitter Tastes : Literary Naturalism and Early Cinema in American Women's Writing</t>
  </si>
  <si>
    <t>813.009/9287</t>
  </si>
  <si>
    <t>PS374.W6.C36 2016</t>
  </si>
  <si>
    <t>https://ebookcentral.proquest.com/lib/cam/detail.action?docID=4659384</t>
  </si>
  <si>
    <t>Elliott Carter : Elliott Carter</t>
  </si>
  <si>
    <t>https://ebookcentral.proquest.com/lib/cam/detail.action?docID=3414184</t>
  </si>
  <si>
    <t>Leg over Leg : Volumes One and Two</t>
  </si>
  <si>
    <t>PJ7862.H48S213 2015</t>
  </si>
  <si>
    <t>https://ebookcentral.proquest.com/lib/cam/detail.action?docID=4012126</t>
  </si>
  <si>
    <t>Flexible Capitalism : Exchange and Ambiguity at Work</t>
  </si>
  <si>
    <t>HD6955.F585 2015</t>
  </si>
  <si>
    <t>https://ebookcentral.proquest.com/lib/cam/detail.action?docID=4351159</t>
  </si>
  <si>
    <t>Europe and Empire : On the Political Forms of Globalization</t>
  </si>
  <si>
    <t>D1060 -- .C223 2016eb</t>
  </si>
  <si>
    <t>https://ebookcentral.proquest.com/lib/cam/detail.action?docID=4395330</t>
  </si>
  <si>
    <t>The Red and the Black : American Film Noir in The 1950s</t>
  </si>
  <si>
    <t>https://ebookcentral.proquest.com/lib/cam/detail.action?docID=4792737</t>
  </si>
  <si>
    <t>Confessions</t>
  </si>
  <si>
    <t>270.2092 B</t>
  </si>
  <si>
    <t>BR60.F3 -- A8218 1966eb</t>
  </si>
  <si>
    <t>https://ebookcentral.proquest.com/lib/cam/detail.action?docID=3134878</t>
  </si>
  <si>
    <t>Moses Mendelssohn's Living Script : Philosophy, Practice, History, Judaism</t>
  </si>
  <si>
    <t>B2693.S235 2017</t>
  </si>
  <si>
    <t>https://ebookcentral.proquest.com/lib/cam/detail.action?docID=4745489</t>
  </si>
  <si>
    <t>Blacks in Appalachia</t>
  </si>
  <si>
    <t>E185.912.B533 1985eb</t>
  </si>
  <si>
    <t>https://ebookcentral.proquest.com/lib/cam/detail.action?docID=1915000</t>
  </si>
  <si>
    <t>Enigmas of Sacrifice : A Critique of Joseph M. Plunkett and the Dublin Insurrection Of 1916</t>
  </si>
  <si>
    <t>941.5082/1</t>
  </si>
  <si>
    <t>DA962</t>
  </si>
  <si>
    <t>https://ebookcentral.proquest.com/lib/cam/detail.action?docID=4413810</t>
  </si>
  <si>
    <t>The Pinckaers Reader : Renewing Thomistic Moral Theology</t>
  </si>
  <si>
    <t>241/.042</t>
  </si>
  <si>
    <t>BJ1249</t>
  </si>
  <si>
    <t>https://ebookcentral.proquest.com/lib/cam/detail.action?docID=3134750</t>
  </si>
  <si>
    <t>Style and Seduction : Jewish Patrons, Architecture, and Design in Fin de Siècle Vienna</t>
  </si>
  <si>
    <t>https://ebookcentral.proquest.com/lib/cam/detail.action?docID=4497553</t>
  </si>
  <si>
    <t>Plant Theory : Biopower and Vegetable Life</t>
  </si>
  <si>
    <t>https://ebookcentral.proquest.com/lib/cam/detail.action?docID=3568970</t>
  </si>
  <si>
    <t>The Human Tradition in the Atlantic World, 1500–1850</t>
  </si>
  <si>
    <t>D210 -- .H96 2010eb</t>
  </si>
  <si>
    <t>https://ebookcentral.proquest.com/lib/cam/detail.action?docID=634197</t>
  </si>
  <si>
    <t>Dialogue, Science and Academic Writing</t>
  </si>
  <si>
    <t>P40.5.D53 -- L58 2012eb</t>
  </si>
  <si>
    <t>https://ebookcentral.proquest.com/lib/cam/detail.action?docID=832304</t>
  </si>
  <si>
    <t>Women and the City, Women in the City : A Gendered Perspective of Ottoman Urban History</t>
  </si>
  <si>
    <t>HQ1726.7.W6296 2014</t>
  </si>
  <si>
    <t>https://ebookcentral.proquest.com/lib/cam/detail.action?docID=1644363</t>
  </si>
  <si>
    <t>The Shaykh of Shaykhs : Mithqal Al-Fayiz and Tribal Leadership in Modern Jordan</t>
  </si>
  <si>
    <t>956.9504/2092</t>
  </si>
  <si>
    <t>DS154</t>
  </si>
  <si>
    <t>https://ebookcentral.proquest.com/lib/cam/detail.action?docID=4557284</t>
  </si>
  <si>
    <t>Introduction to Many-Facet Rasch Measurement : Analyzing and Evaluating Rater-Mediated Assessments.  2&lt;SUP&gt;nd&lt;/SUP&gt; Revised and Updated Edition</t>
  </si>
  <si>
    <t>LB3051 -- .E235 2015eb</t>
  </si>
  <si>
    <t>https://ebookcentral.proquest.com/lib/cam/detail.action?docID=4003636</t>
  </si>
  <si>
    <t>Circuits of Faith : Migration, Education, and the Wahhabi Mission</t>
  </si>
  <si>
    <t>Education; Religion</t>
  </si>
  <si>
    <t>297.7/709538</t>
  </si>
  <si>
    <t>LG359</t>
  </si>
  <si>
    <t>https://ebookcentral.proquest.com/lib/cam/detail.action?docID=4714046</t>
  </si>
  <si>
    <t>Domination and Defiance : Fathers and Daughters in Shakespeare</t>
  </si>
  <si>
    <t>PR2992.F3.D74 1986eb</t>
  </si>
  <si>
    <t>https://ebookcentral.proquest.com/lib/cam/detail.action?docID=1915162</t>
  </si>
  <si>
    <t>Child Rights : The Movement, International Law, and Opposition</t>
  </si>
  <si>
    <t>HQ789 -- .C42745 2012eb</t>
  </si>
  <si>
    <t>https://ebookcentral.proquest.com/lib/cam/detail.action?docID=3119342</t>
  </si>
  <si>
    <t>Analogies of Transcendence : An Essay on Nature, Grace, and Modernity</t>
  </si>
  <si>
    <t>https://ebookcentral.proquest.com/lib/cam/detail.action?docID=4592427</t>
  </si>
  <si>
    <t>The Welfare of Syrian Refugees : Evidence from Jordan and Lebanon</t>
  </si>
  <si>
    <t>HV640.5.S97 -- V47 2016eb</t>
  </si>
  <si>
    <t>https://ebookcentral.proquest.com/lib/cam/detail.action?docID=4397398</t>
  </si>
  <si>
    <t>Attitudes to Standard British English and Standard Polish : A Study in Normative Linguistics and Comparative Sociolinguistics</t>
  </si>
  <si>
    <t>PE1074.7 -- .R383 2016eb</t>
  </si>
  <si>
    <t>https://ebookcentral.proquest.com/lib/cam/detail.action?docID=4500344</t>
  </si>
  <si>
    <t>Advances in Understanding Multilingualism: A Global Perspective</t>
  </si>
  <si>
    <t>P115 -- .A383 2016eb</t>
  </si>
  <si>
    <t>https://ebookcentral.proquest.com/lib/cam/detail.action?docID=4500371</t>
  </si>
  <si>
    <t>The Sword of Ambition : Bureaucratic Rivalry in Medieval Egypt</t>
  </si>
  <si>
    <t>JQ3831 -- .N338 2016eb</t>
  </si>
  <si>
    <t>https://ebookcentral.proquest.com/lib/cam/detail.action?docID=4045248</t>
  </si>
  <si>
    <t>Combating Human Trafficking : A Multidisciplinary Approach</t>
  </si>
  <si>
    <t>306.3/62</t>
  </si>
  <si>
    <t>HQ281 -- .C6543 2015eb</t>
  </si>
  <si>
    <t>https://ebookcentral.proquest.com/lib/cam/detail.action?docID=1711146</t>
  </si>
  <si>
    <t>Princely Brothers and Sisters : The Sibling Bond in German Politics, 1100–1250</t>
  </si>
  <si>
    <t>HQ759</t>
  </si>
  <si>
    <t>https://ebookcentral.proquest.com/lib/cam/detail.action?docID=3138410</t>
  </si>
  <si>
    <t>Through the Reading Glass : Women, Books, and Sex in the French Enlightenment</t>
  </si>
  <si>
    <t>028/.9/0820944</t>
  </si>
  <si>
    <t>PQ265 -- .D523 2005eb</t>
  </si>
  <si>
    <t>https://ebookcentral.proquest.com/lib/cam/detail.action?docID=3407699</t>
  </si>
  <si>
    <t>Diálogos Series : Women Drug Traffickers : Mules, Bosses, and Organized Crime</t>
  </si>
  <si>
    <t>363.45082/0972</t>
  </si>
  <si>
    <t>HV5840.M6 -- .C374 2014eb</t>
  </si>
  <si>
    <t>https://ebookcentral.proquest.com/lib/cam/detail.action?docID=1789183</t>
  </si>
  <si>
    <t>Playing Games of Sense in Edwin Morgan’s Writing</t>
  </si>
  <si>
    <t>PR6063.O69 -- .K636 2016eb</t>
  </si>
  <si>
    <t>https://ebookcentral.proquest.com/lib/cam/detail.action?docID=4526583</t>
  </si>
  <si>
    <t>Metamorphoses of Science Fiction : On the Poetics and History of a Literary Genre</t>
  </si>
  <si>
    <t>PN3433.6 -- .S885 2016eb</t>
  </si>
  <si>
    <t>https://ebookcentral.proquest.com/lib/cam/detail.action?docID=4500330</t>
  </si>
  <si>
    <t>Radical Poetry : Aesthetics, Politics, Technology, and the Ibero-American Avant-Gardes, 1900-2015</t>
  </si>
  <si>
    <t>861.009/98</t>
  </si>
  <si>
    <t>PQ7082.P7L446 2016</t>
  </si>
  <si>
    <t>https://ebookcentral.proquest.com/lib/cam/detail.action?docID=4732319</t>
  </si>
  <si>
    <t>In Search of Vikings : Interdisciplinary Approaches to the Scandinavian Heritage of North-West England</t>
  </si>
  <si>
    <t>DL65 -- .I5 2015eb</t>
  </si>
  <si>
    <t>https://ebookcentral.proquest.com/lib/cam/detail.action?docID=1400782</t>
  </si>
  <si>
    <t>Immigrant Identity and the Politics of Citizenship : A Collection of Articles from the Journal of American Ethnic History</t>
  </si>
  <si>
    <t>JV6477</t>
  </si>
  <si>
    <t>https://ebookcentral.proquest.com/lib/cam/detail.action?docID=4556945</t>
  </si>
  <si>
    <t>Provocation and Negotiation : Essays in Comparative Criticism</t>
  </si>
  <si>
    <t>BRILL</t>
  </si>
  <si>
    <t>PN858 -- .P76 2013eb</t>
  </si>
  <si>
    <t>https://ebookcentral.proquest.com/lib/cam/detail.action?docID=1402871</t>
  </si>
  <si>
    <t>Virtual Intimacies : Media, Affect, and Queer Sociality</t>
  </si>
  <si>
    <t>HQ76.25.M372 2013eb</t>
  </si>
  <si>
    <t>https://ebookcentral.proquest.com/lib/cam/detail.action?docID=3408799</t>
  </si>
  <si>
    <t>Global Unions, Local Power : The New Spirit of Transnational Labor Organizing</t>
  </si>
  <si>
    <t>HD6475.A1.M33 2013eb</t>
  </si>
  <si>
    <t>https://ebookcentral.proquest.com/lib/cam/detail.action?docID=3138527</t>
  </si>
  <si>
    <t>Youth 2. 0: Social Media and Adolescence</t>
  </si>
  <si>
    <t>https://ebookcentral.proquest.com/lib/cam/detail.action?docID=4516701</t>
  </si>
  <si>
    <t>Fichte's Addresses to the German Nation Reconsidered</t>
  </si>
  <si>
    <t>DD199.F43.F53 2016</t>
  </si>
  <si>
    <t>https://ebookcentral.proquest.com/lib/cam/detail.action?docID=4675527</t>
  </si>
  <si>
    <t>A Very Old Machine : The Many Origins of the Cinema in India, 1840-1930</t>
  </si>
  <si>
    <t>PN1993.5.I8M326 2015</t>
  </si>
  <si>
    <t>https://ebookcentral.proquest.com/lib/cam/detail.action?docID=4396587</t>
  </si>
  <si>
    <t>American Secularism : Cultural Contours of Nonreligious Belief Systems</t>
  </si>
  <si>
    <t>211/.60973</t>
  </si>
  <si>
    <t>BL2747.8 .B285 2015</t>
  </si>
  <si>
    <t>https://ebookcentral.proquest.com/lib/cam/detail.action?docID=1983474</t>
  </si>
  <si>
    <t>Cities, Business, and the Politics of Urban Violence in Latin America</t>
  </si>
  <si>
    <t>HN310</t>
  </si>
  <si>
    <t>https://ebookcentral.proquest.com/lib/cam/detail.action?docID=4414755</t>
  </si>
  <si>
    <t>Pretty/Funny : Women Comedians and Body Politics</t>
  </si>
  <si>
    <t>792.702/8092</t>
  </si>
  <si>
    <t>PN1590.W64 -- .M59 2014eb</t>
  </si>
  <si>
    <t>https://ebookcentral.proquest.com/lib/cam/detail.action?docID=3443726</t>
  </si>
  <si>
    <t>What Kind of God? : Collected Essays of Terence E. Fretheim</t>
  </si>
  <si>
    <t>BS1192.6 -- .W48 2015eb</t>
  </si>
  <si>
    <t>https://ebookcentral.proquest.com/lib/cam/detail.action?docID=4395073</t>
  </si>
  <si>
    <t>The Mizrahi Era of Rebellion : Israel's Forgotten Civil Rights Struggle 1948-1966</t>
  </si>
  <si>
    <t>956.9405/2</t>
  </si>
  <si>
    <t>DS113.8.S4R63 2015</t>
  </si>
  <si>
    <t>https://ebookcentral.proquest.com/lib/cam/detail.action?docID=4649160</t>
  </si>
  <si>
    <t>Slapstick Modernism : Chaplin to Kerouac to Iggy Pop</t>
  </si>
  <si>
    <t>810.9/005</t>
  </si>
  <si>
    <t>PS310</t>
  </si>
  <si>
    <t>https://ebookcentral.proquest.com/lib/cam/detail.action?docID=4443544</t>
  </si>
  <si>
    <t>Death, Resurrection, and Human Destiny : Christian and Muslim Perspectives</t>
  </si>
  <si>
    <t>BP166.8 -- .B85 2014eb</t>
  </si>
  <si>
    <t>https://ebookcentral.proquest.com/lib/cam/detail.action?docID=1688512</t>
  </si>
  <si>
    <t>Passion Before Me, My Fate Behind : Ibn Al-Farid and the Poetry of Recollection</t>
  </si>
  <si>
    <t>892.7/134</t>
  </si>
  <si>
    <t>PJ7755.I18 -- Z683 2011eb</t>
  </si>
  <si>
    <t>https://ebookcentral.proquest.com/lib/cam/detail.action?docID=3407305</t>
  </si>
  <si>
    <t>Outlaw Fathers in Victorian and Modern British Literature : Queering Patriarchy</t>
  </si>
  <si>
    <t>PR408.F36 -- .G874 2013eb</t>
  </si>
  <si>
    <t>https://ebookcentral.proquest.com/lib/cam/detail.action?docID=1664635</t>
  </si>
  <si>
    <t>Egypt Beyond Tahrir Square</t>
  </si>
  <si>
    <t>DT107.88.E346 2016</t>
  </si>
  <si>
    <t>https://ebookcentral.proquest.com/lib/cam/detail.action?docID=4708924</t>
  </si>
  <si>
    <t>Living in the Ottoman Realm : Empire and Identity, 13th to 20th Centuries</t>
  </si>
  <si>
    <t>DR486.L58 2016</t>
  </si>
  <si>
    <t>https://ebookcentral.proquest.com/lib/cam/detail.action?docID=4452379</t>
  </si>
  <si>
    <t>Seeing Sarah Bernhardt : Performance and Silent Film</t>
  </si>
  <si>
    <t>792.02/8092</t>
  </si>
  <si>
    <t>PN2638</t>
  </si>
  <si>
    <t>https://ebookcentral.proquest.com/lib/cam/detail.action?docID=4306046</t>
  </si>
  <si>
    <t>Kafka's Nonhuman Form : Troubling the Boundaries of the Kafkaesque</t>
  </si>
  <si>
    <t>https://ebookcentral.proquest.com/lib/cam/detail.action?docID=4653461</t>
  </si>
  <si>
    <t>Alterity and Narrative : Stories and the Negotiation of Western Identities</t>
  </si>
  <si>
    <t>305.09182/1</t>
  </si>
  <si>
    <t>HM1071 -- .R63 2007eb</t>
  </si>
  <si>
    <t>https://ebookcentral.proquest.com/lib/cam/detail.action?docID=3407538</t>
  </si>
  <si>
    <t>Music and Ideas in the Sixteenth and Seventeenth Centuries</t>
  </si>
  <si>
    <t>ML174</t>
  </si>
  <si>
    <t>https://ebookcentral.proquest.com/lib/cam/detail.action?docID=4556933</t>
  </si>
  <si>
    <t>Italian Political Cinema : Public Life, Imaginary, and Identity in Contemporary Italian Film</t>
  </si>
  <si>
    <t>PN1993.5.I88 -- .I835 2016eb</t>
  </si>
  <si>
    <t>https://ebookcentral.proquest.com/lib/cam/detail.action?docID=4500334</t>
  </si>
  <si>
    <t>The Massacres at Mt. Halla : Sixty Years of Truth Seeking in South Korea</t>
  </si>
  <si>
    <t>951.904/1</t>
  </si>
  <si>
    <t>DS917</t>
  </si>
  <si>
    <t>https://ebookcentral.proquest.com/lib/cam/detail.action?docID=3138570</t>
  </si>
  <si>
    <t>Cinema, Slavery, and Brazilian Nationalism</t>
  </si>
  <si>
    <t>PN1995.9.S557 -- .G68 2015eb</t>
  </si>
  <si>
    <t>https://ebookcentral.proquest.com/lib/cam/detail.action?docID=3571825</t>
  </si>
  <si>
    <t>Migrating Faith : Pentecostalism in the United States and Mexico in the Twentieth Century</t>
  </si>
  <si>
    <t>BR1644.5.U6R36 2015</t>
  </si>
  <si>
    <t>https://ebookcentral.proquest.com/lib/cam/detail.action?docID=4322244</t>
  </si>
  <si>
    <t>Mediterranean Enlightenment : Livornese Jews, Tuscan Culture, and Eighteenth-Century Reform</t>
  </si>
  <si>
    <t>305.892/40455609033</t>
  </si>
  <si>
    <t>https://ebookcentral.proquest.com/lib/cam/detail.action?docID=1707326</t>
  </si>
  <si>
    <t>Negotiating Respect : Pentecostalism, Masculinity, and the Politics of Spiritual Authority in the Dominican Republic</t>
  </si>
  <si>
    <t>277.293/083</t>
  </si>
  <si>
    <t>BR1644.5.D65 T46</t>
  </si>
  <si>
    <t>https://ebookcentral.proquest.com/lib/cam/detail.action?docID=4227282</t>
  </si>
  <si>
    <t>Sentimental Memorials : Women and the Novel in Literary History</t>
  </si>
  <si>
    <t>823/.6099287</t>
  </si>
  <si>
    <t>PR858</t>
  </si>
  <si>
    <t>https://ebookcentral.proquest.com/lib/cam/detail.action?docID=1926012</t>
  </si>
  <si>
    <t>The Courtship Novel, 1740-1820 : A Feminized Genre</t>
  </si>
  <si>
    <t>823/.0850906</t>
  </si>
  <si>
    <t>PR858.C69.G74 1991eb</t>
  </si>
  <si>
    <t>https://ebookcentral.proquest.com/lib/cam/detail.action?docID=1915111</t>
  </si>
  <si>
    <t>Nationalizing Empires</t>
  </si>
  <si>
    <t>D359.7 -- .N385 2015eb</t>
  </si>
  <si>
    <t>https://ebookcentral.proquest.com/lib/cam/detail.action?docID=4443155</t>
  </si>
  <si>
    <t>Protest Nation : The Right to Protest in South Africa</t>
  </si>
  <si>
    <t>JQ1981.D86 2016</t>
  </si>
  <si>
    <t>https://ebookcentral.proquest.com/lib/cam/detail.action?docID=4717538</t>
  </si>
  <si>
    <t>Readings in Planning Theory</t>
  </si>
  <si>
    <t>307.1/216</t>
  </si>
  <si>
    <t>HT165.5 -- .R433 2016eb</t>
  </si>
  <si>
    <t>https://ebookcentral.proquest.com/lib/cam/detail.action?docID=4043002</t>
  </si>
  <si>
    <t>Ostkrieg : Hitler's War of Extermination in the East</t>
  </si>
  <si>
    <t>940.54/21</t>
  </si>
  <si>
    <t>D764.F737 2011</t>
  </si>
  <si>
    <t>https://ebookcentral.proquest.com/lib/cam/detail.action?docID=792342</t>
  </si>
  <si>
    <t>Workers and Thieves : Labor Movements and Popular Uprisings in Tunisia and Egypt</t>
  </si>
  <si>
    <t>961.105/2</t>
  </si>
  <si>
    <t>HD8784</t>
  </si>
  <si>
    <t>https://ebookcentral.proquest.com/lib/cam/detail.action?docID=4414783</t>
  </si>
  <si>
    <t>Understanding the Medieval Meditative Ascent : Augustine, Anselm, Boethius and Dante</t>
  </si>
  <si>
    <t>BV4818</t>
  </si>
  <si>
    <t>https://ebookcentral.proquest.com/lib/cam/detail.action?docID=3134737</t>
  </si>
  <si>
    <t>Bodily Natures : Science, Environment, and the Material Self</t>
  </si>
  <si>
    <t>GF41.A385 2010</t>
  </si>
  <si>
    <t>https://ebookcentral.proquest.com/lib/cam/detail.action?docID=613606</t>
  </si>
  <si>
    <t>Frontier Livelihoods : Hmong in the Sino-Vietnamese Borderlands</t>
  </si>
  <si>
    <t>305.8959/7205135</t>
  </si>
  <si>
    <t>DS731.M5 -- .T87 2015eb</t>
  </si>
  <si>
    <t>https://ebookcentral.proquest.com/lib/cam/detail.action?docID=3444641</t>
  </si>
  <si>
    <t>Voice and Agency : Empowering Women and Girls for Shared Prosperity</t>
  </si>
  <si>
    <t>305.409172/4</t>
  </si>
  <si>
    <t>HQ1870.9 -- .V653 2014eb</t>
  </si>
  <si>
    <t>https://ebookcentral.proquest.com/lib/cam/detail.action?docID=1812791</t>
  </si>
  <si>
    <t>The Way Things Go : An Essay on the Matter of Second Modernism</t>
  </si>
  <si>
    <t>CB357 -- .J34 2014eb</t>
  </si>
  <si>
    <t>https://ebookcentral.proquest.com/lib/cam/detail.action?docID=2008310</t>
  </si>
  <si>
    <t>Lemberg, Lwów, L'viv, 1914 - 1947 : Violence and Ethnicity in a Contested City</t>
  </si>
  <si>
    <t>DK508.95.L86M53513</t>
  </si>
  <si>
    <t>https://ebookcentral.proquest.com/lib/cam/detail.action?docID=4098367</t>
  </si>
  <si>
    <t>Reconsidering the Concept of Revolutionary Monotheism</t>
  </si>
  <si>
    <t>211/.34</t>
  </si>
  <si>
    <t>BL221 -- .R43 2011eb</t>
  </si>
  <si>
    <t>https://ebookcentral.proquest.com/lib/cam/detail.action?docID=3155622</t>
  </si>
  <si>
    <t>Sex on Earth As It Is in Heaven : A Christian Eschatology of Desire</t>
  </si>
  <si>
    <t>236/.2</t>
  </si>
  <si>
    <t>BT903.J864 2017</t>
  </si>
  <si>
    <t>https://ebookcentral.proquest.com/lib/cam/detail.action?docID=4774207</t>
  </si>
  <si>
    <t>The Passage from Youth to Adulthood : Narrative and Cultural Thresholds</t>
  </si>
  <si>
    <t>HQ799.5 -- .B57 2014eb</t>
  </si>
  <si>
    <t>https://ebookcentral.proquest.com/lib/cam/detail.action?docID=1810395</t>
  </si>
  <si>
    <t>A History of the Book in America : Volume 4: Print in Motion: the Expansion of Publishing and Reading in the United States, 1880-1940</t>
  </si>
  <si>
    <t>Business/Management; Publishing</t>
  </si>
  <si>
    <t>381/.450020973</t>
  </si>
  <si>
    <t>Z473 -- .P75 2009eb</t>
  </si>
  <si>
    <t>https://ebookcentral.proquest.com/lib/cam/detail.action?docID=3571165</t>
  </si>
  <si>
    <t>The Archetypal Sunni Scholar : Law, Theology, and Mysticism in the Synthesis of Al-Bajuri</t>
  </si>
  <si>
    <t>297.8/1092 B</t>
  </si>
  <si>
    <t>BP80.B23515 -- .S74 2014eb</t>
  </si>
  <si>
    <t>https://ebookcentral.proquest.com/lib/cam/detail.action?docID=3408928</t>
  </si>
  <si>
    <t>The Study of Ethnomusicology : Thirty-Three Discussions</t>
  </si>
  <si>
    <t>ML3798</t>
  </si>
  <si>
    <t>https://ebookcentral.proquest.com/lib/cam/detail.action?docID=4792742</t>
  </si>
  <si>
    <t>The Red Atlantic : American Indigenes and the Making of the Modern World, 1000-1927</t>
  </si>
  <si>
    <t>973.04/97</t>
  </si>
  <si>
    <t>E78 .A88 W43 2014</t>
  </si>
  <si>
    <t>https://ebookcentral.proquest.com/lib/cam/detail.action?docID=1655858</t>
  </si>
  <si>
    <t>Beyond Machismo : Intersectional Latino Masculinities</t>
  </si>
  <si>
    <t>HQ1090.7.L29H87 2016</t>
  </si>
  <si>
    <t>https://ebookcentral.proquest.com/lib/cam/detail.action?docID=4397289</t>
  </si>
  <si>
    <t>Diversity of Sacrifice : Form and Function of Sacrificial Practices in the Ancient World and Beyond</t>
  </si>
  <si>
    <t>203/.40936</t>
  </si>
  <si>
    <t>BL570.D58 2016</t>
  </si>
  <si>
    <t>https://ebookcentral.proquest.com/lib/cam/detail.action?docID=4528785</t>
  </si>
  <si>
    <t>Ushering in a New Republic : Theologies of Arrival at Rome in the First Century BCE</t>
  </si>
  <si>
    <t>937/.05</t>
  </si>
  <si>
    <t>DG254</t>
  </si>
  <si>
    <t>https://ebookcentral.proquest.com/lib/cam/detail.action?docID=4388357</t>
  </si>
  <si>
    <t>Kay Boyle : A Twentieth-Century Life in Letters</t>
  </si>
  <si>
    <t>https://ebookcentral.proquest.com/lib/cam/detail.action?docID=3440678</t>
  </si>
  <si>
    <t>Soviet Soft Power in Poland : Culture and the Making of Stalin's New Empire, 1943-1957</t>
  </si>
  <si>
    <t>303.48/243804709045</t>
  </si>
  <si>
    <t>DK67.5.P7 -- .B335 2015eb</t>
  </si>
  <si>
    <t>https://ebookcentral.proquest.com/lib/cam/detail.action?docID=3571143</t>
  </si>
  <si>
    <t>In Permanent Crisis : Ethnicity in Contemporary European Media and Cinema</t>
  </si>
  <si>
    <t>https://ebookcentral.proquest.com/lib/cam/detail.action?docID=4003818</t>
  </si>
  <si>
    <t>The Ecology of Modernism : American Environments and Avant-Garde Poetics</t>
  </si>
  <si>
    <t>811/.509112</t>
  </si>
  <si>
    <t>https://ebookcentral.proquest.com/lib/cam/detail.action?docID=2130651</t>
  </si>
  <si>
    <t>The Burden of the Ancients : Maya Ceremonies of World Renewal from the Pre-Columbian Period to the Present</t>
  </si>
  <si>
    <t>299.7/842</t>
  </si>
  <si>
    <t>F1435.3.R56.C475 2016</t>
  </si>
  <si>
    <t>https://ebookcentral.proquest.com/lib/cam/detail.action?docID=4770544</t>
  </si>
  <si>
    <t>Philosophical Writings</t>
  </si>
  <si>
    <t>844/.914</t>
  </si>
  <si>
    <t>PQ2603</t>
  </si>
  <si>
    <t>https://ebookcentral.proquest.com/lib/cam/detail.action?docID=3414464</t>
  </si>
  <si>
    <t>Lovecidal : Walking with the Disappeared</t>
  </si>
  <si>
    <t>HM554.T756 2016</t>
  </si>
  <si>
    <t>https://ebookcentral.proquest.com/lib/cam/detail.action?docID=4620032</t>
  </si>
  <si>
    <t>No Mercy Here : Gender, Punishment, and the Making of Jim Crow Modernity</t>
  </si>
  <si>
    <t>365/.4308996073</t>
  </si>
  <si>
    <t>HV9471.H25 2016</t>
  </si>
  <si>
    <t>https://ebookcentral.proquest.com/lib/cam/detail.action?docID=4443610</t>
  </si>
  <si>
    <t>Paper Bullets : Print and Kingship under Charles II</t>
  </si>
  <si>
    <t>941.06/6</t>
  </si>
  <si>
    <t>DA445.W43 1996eb</t>
  </si>
  <si>
    <t>https://ebookcentral.proquest.com/lib/cam/detail.action?docID=1915257</t>
  </si>
  <si>
    <t>Fantasy, Forgery, and the Byron Legend</t>
  </si>
  <si>
    <t>821/.7</t>
  </si>
  <si>
    <t>PR4382.S63 1996eb</t>
  </si>
  <si>
    <t>https://ebookcentral.proquest.com/lib/cam/detail.action?docID=1915176</t>
  </si>
  <si>
    <t>Past Imperatives : Studies in the History and Theory of Jewish Ethics</t>
  </si>
  <si>
    <t>296.3/6</t>
  </si>
  <si>
    <t>BJ1285 -- .N49 1998eb</t>
  </si>
  <si>
    <t>https://ebookcentral.proquest.com/lib/cam/detail.action?docID=3408276</t>
  </si>
  <si>
    <t>Social Theory and Social Movements : Mutual Inspirations</t>
  </si>
  <si>
    <t>https://ebookcentral.proquest.com/lib/cam/detail.action?docID=4674441</t>
  </si>
  <si>
    <t>Political Landscapes of Capital Cities</t>
  </si>
  <si>
    <t>306.209173/2</t>
  </si>
  <si>
    <t>JF1900</t>
  </si>
  <si>
    <t>https://ebookcentral.proquest.com/lib/cam/detail.action?docID=4595364</t>
  </si>
  <si>
    <t>The United States and China : A History from the Eighteenth Century to the Present</t>
  </si>
  <si>
    <t>E183.8.C5 -- W3416 2013eb</t>
  </si>
  <si>
    <t>https://ebookcentral.proquest.com/lib/cam/detail.action?docID=1126467</t>
  </si>
  <si>
    <t>Multilateralism in Global Governance : Formal and Informal Institutions</t>
  </si>
  <si>
    <t>JZ1318 -- .M856 2016eb</t>
  </si>
  <si>
    <t>https://ebookcentral.proquest.com/lib/cam/detail.action?docID=4558413</t>
  </si>
  <si>
    <t>Humor and Nonviolent Struggle in Serbia</t>
  </si>
  <si>
    <t>DR2051.S663 2015</t>
  </si>
  <si>
    <t>https://ebookcentral.proquest.com/lib/cam/detail.action?docID=4693477</t>
  </si>
  <si>
    <t>Readings in Later Chinese Philosophy : Han to the 20th Century</t>
  </si>
  <si>
    <t>B125 .R43 2014</t>
  </si>
  <si>
    <t>https://ebookcentral.proquest.com/lib/cam/detail.action?docID=1773425</t>
  </si>
  <si>
    <t>Black Bodies, Black Rights : The Politics of Quilombolismo in Contemporary Brazil</t>
  </si>
  <si>
    <t>305.896/081</t>
  </si>
  <si>
    <t>F2659.N4.F374 2016</t>
  </si>
  <si>
    <t>https://ebookcentral.proquest.com/lib/cam/detail.action?docID=4770548</t>
  </si>
  <si>
    <t>The Ottoman Scramble for Africa : Empire and Diplomacy in the Sahara and the Hijaz</t>
  </si>
  <si>
    <t>327.56009/034</t>
  </si>
  <si>
    <t>DR571</t>
  </si>
  <si>
    <t>https://ebookcentral.proquest.com/lib/cam/detail.action?docID=4780593</t>
  </si>
  <si>
    <t>Zones of Anxiety : Movement, Musidora, and the Crime Serials of Louis Feuillade</t>
  </si>
  <si>
    <t>843/.912</t>
  </si>
  <si>
    <t>PN1998.3.F48 -- C35 2005eb</t>
  </si>
  <si>
    <t>https://ebookcentral.proquest.com/lib/cam/detail.action?docID=3416542</t>
  </si>
  <si>
    <t>Monsters by Trade : Slave Traffickers in Modern Spanish Literature and Culture</t>
  </si>
  <si>
    <t>860.9/3552</t>
  </si>
  <si>
    <t>PQ6073</t>
  </si>
  <si>
    <t>https://ebookcentral.proquest.com/lib/cam/detail.action?docID=1711883</t>
  </si>
  <si>
    <t>Slavery, Childhood, and Abolition in Jamaica, 1788-1838</t>
  </si>
  <si>
    <t>306.3/62083097292</t>
  </si>
  <si>
    <t>HT1096 -- .V37 2015eb</t>
  </si>
  <si>
    <t>https://ebookcentral.proquest.com/lib/cam/detail.action?docID=3039152</t>
  </si>
  <si>
    <t>State Phobia and Civil Society : The Political Legacy of Michel Foucault</t>
  </si>
  <si>
    <t>JC261</t>
  </si>
  <si>
    <t>https://ebookcentral.proquest.com/lib/cam/detail.action?docID=4414758</t>
  </si>
  <si>
    <t>The Last Rabbi : Joseph Soloveitchik and Talmudic Tradition</t>
  </si>
  <si>
    <t>BM755.S6144K66 2016</t>
  </si>
  <si>
    <t>https://ebookcentral.proquest.com/lib/cam/detail.action?docID=4674264</t>
  </si>
  <si>
    <t>A History of the Book in America : Volume 2: an Extensive Republic: Print, Culture, and Society in the New Nation, 1790-1840</t>
  </si>
  <si>
    <t>Publishing; Business/Management</t>
  </si>
  <si>
    <t>381/.45002097309034</t>
  </si>
  <si>
    <t>Z473 -- .E98 2010eb</t>
  </si>
  <si>
    <t>https://ebookcentral.proquest.com/lib/cam/detail.action?docID=3571164</t>
  </si>
  <si>
    <t>Alternative Alices : Visions and Revisions of Lewis Carroll's Alice Books</t>
  </si>
  <si>
    <t>PR4612 -- .A48 1997eb</t>
  </si>
  <si>
    <t>https://ebookcentral.proquest.com/lib/cam/detail.action?docID=1914924</t>
  </si>
  <si>
    <t>Populism and Politics : William Alfred Peffer and the People's Party</t>
  </si>
  <si>
    <t>JK2372.A744 1974eb</t>
  </si>
  <si>
    <t>https://ebookcentral.proquest.com/lib/cam/detail.action?docID=1915715</t>
  </si>
  <si>
    <t>The Brink of All We Hate : English Satires on Women, 1660--1750</t>
  </si>
  <si>
    <t>PR449.W65.N87 1984eb</t>
  </si>
  <si>
    <t>https://ebookcentral.proquest.com/lib/cam/detail.action?docID=1915857</t>
  </si>
  <si>
    <t>Brahms and Bruckner as Artistic Antipodes : Studies in Musical Semantics</t>
  </si>
  <si>
    <t>ML3845 -- .F5513 2015eb</t>
  </si>
  <si>
    <t>https://ebookcentral.proquest.com/lib/cam/detail.action?docID=3564938</t>
  </si>
  <si>
    <t>The Myth of Seneca Falls : Memory and the Women's Suffrage Movement, 1848-1898</t>
  </si>
  <si>
    <t>324.6/23097309034</t>
  </si>
  <si>
    <t>JK1896.T48 2014eb</t>
  </si>
  <si>
    <t>https://ebookcentral.proquest.com/lib/cam/detail.action?docID=1663553</t>
  </si>
  <si>
    <t>Akkadian Verb and Its Semitic Background</t>
  </si>
  <si>
    <t>PJ3291 -- .K678 2010eb</t>
  </si>
  <si>
    <t>https://ebookcentral.proquest.com/lib/cam/detail.action?docID=3155621</t>
  </si>
  <si>
    <t>Aristocrats and the Crowd in the Revolutionary Year 1848 : A Contribution to the History of Revolution and Counter-Revolution</t>
  </si>
  <si>
    <t>943.6/04</t>
  </si>
  <si>
    <t>DB83 -- .P655 1980eb</t>
  </si>
  <si>
    <t>https://ebookcentral.proquest.com/lib/cam/detail.action?docID=3440512</t>
  </si>
  <si>
    <t>Global Gangs : Street Violence across the World</t>
  </si>
  <si>
    <t>364.106/6</t>
  </si>
  <si>
    <t>HV6437 -- .G56 2014eb</t>
  </si>
  <si>
    <t>https://ebookcentral.proquest.com/lib/cam/detail.action?docID=1719860</t>
  </si>
  <si>
    <t>Death in Winterreise : Musico-Poetic Associations in Schubert's Song Cycle</t>
  </si>
  <si>
    <t>782.4/7</t>
  </si>
  <si>
    <t>MT121.S36.S88 2014eb</t>
  </si>
  <si>
    <t>https://ebookcentral.proquest.com/lib/cam/detail.action?docID=1566361</t>
  </si>
  <si>
    <t>Joyce's Allmaziful Plurabilities : Polyvocal Explorations of Finnegans Wake</t>
  </si>
  <si>
    <t>PR6019.O9F593553 201</t>
  </si>
  <si>
    <t>https://ebookcentral.proquest.com/lib/cam/detail.action?docID=4012414</t>
  </si>
  <si>
    <t>For Liberty and the Republic : The American Citizen As Soldier, 1775-1861</t>
  </si>
  <si>
    <t>355.10973/09034</t>
  </si>
  <si>
    <t>E178</t>
  </si>
  <si>
    <t>https://ebookcentral.proquest.com/lib/cam/detail.action?docID=1991883</t>
  </si>
  <si>
    <t>Tropical Renditions : Making Musical Scenes in Filipino America</t>
  </si>
  <si>
    <t>780.89/9921073</t>
  </si>
  <si>
    <t>ML3560</t>
  </si>
  <si>
    <t>https://ebookcentral.proquest.com/lib/cam/detail.action?docID=4505377</t>
  </si>
  <si>
    <t>Medieval Women and Their Objects</t>
  </si>
  <si>
    <t>HQ1147</t>
  </si>
  <si>
    <t>https://ebookcentral.proquest.com/lib/cam/detail.action?docID=4768830</t>
  </si>
  <si>
    <t>Michael Oakeshott and the Conversation of Modern Political Thought</t>
  </si>
  <si>
    <t>JC257.O244 -- .P56 2015eb</t>
  </si>
  <si>
    <t>https://ebookcentral.proquest.com/lib/cam/detail.action?docID=3409007</t>
  </si>
  <si>
    <t>God and Human Freedom : A Kierkegaardian Perspective</t>
  </si>
  <si>
    <t>B4378.L53 -- .K56 2015eb</t>
  </si>
  <si>
    <t>https://ebookcentral.proquest.com/lib/cam/detail.action?docID=4012268</t>
  </si>
  <si>
    <t>Music in English Renaissance Drama</t>
  </si>
  <si>
    <t>ML286.2.M875 1968eb</t>
  </si>
  <si>
    <t>https://ebookcentral.proquest.com/lib/cam/detail.action?docID=1915606</t>
  </si>
  <si>
    <t>Merchants of Canton and Macao : Success and Failure in Eighteenth-Century Chinese Trade</t>
  </si>
  <si>
    <t>HF3840.C36</t>
  </si>
  <si>
    <t>https://ebookcentral.proquest.com/lib/cam/detail.action?docID=4592529</t>
  </si>
  <si>
    <t>Inanimation : Theories of Inorganic Life</t>
  </si>
  <si>
    <t>113/.8</t>
  </si>
  <si>
    <t>BD435.W64 2016</t>
  </si>
  <si>
    <t>https://ebookcentral.proquest.com/lib/cam/detail.action?docID=4392078</t>
  </si>
  <si>
    <t>Variations on the Body</t>
  </si>
  <si>
    <t>B105 .B64 S4713 2015</t>
  </si>
  <si>
    <t>https://ebookcentral.proquest.com/lib/cam/detail.action?docID=2129523</t>
  </si>
  <si>
    <t>Zhuangzi and the Happy Fish</t>
  </si>
  <si>
    <t>299.5/1482</t>
  </si>
  <si>
    <t>BL1900.C576 -- Z4945 2015eb</t>
  </si>
  <si>
    <t>https://ebookcentral.proquest.com/lib/cam/detail.action?docID=3413801</t>
  </si>
  <si>
    <t>Nobody's Business : Twenty-First Century Avant-Garde Poetics</t>
  </si>
  <si>
    <t>https://ebookcentral.proquest.com/lib/cam/detail.action?docID=3138503</t>
  </si>
  <si>
    <t>Making Modern Girls : A History of Girlhood, Labor, and Social Development in Colonial Lagos</t>
  </si>
  <si>
    <t>HQ792.N5G46 2014</t>
  </si>
  <si>
    <t>https://ebookcentral.proquest.com/lib/cam/detail.action?docID=1813361</t>
  </si>
  <si>
    <t>The Revolution Before the Revolution : Late Authoritarianism and Student Protest in Portugal</t>
  </si>
  <si>
    <t>946.904/3</t>
  </si>
  <si>
    <t>DP680 .A6245 2016</t>
  </si>
  <si>
    <t>https://ebookcentral.proquest.com/lib/cam/detail.action?docID=4386541</t>
  </si>
  <si>
    <t>Nihilism and Metaphysics : The Third Voyage</t>
  </si>
  <si>
    <t>149/.8</t>
  </si>
  <si>
    <t>B828.3.P6613 2014eb</t>
  </si>
  <si>
    <t>https://ebookcentral.proquest.com/lib/cam/detail.action?docID=3408866</t>
  </si>
  <si>
    <t>Diplomacy's Value : Creating Security in 1920s Europe and the Contemporary Middle East</t>
  </si>
  <si>
    <t>327.4009/042</t>
  </si>
  <si>
    <t>JZ1405</t>
  </si>
  <si>
    <t>https://ebookcentral.proquest.com/lib/cam/detail.action?docID=3138672</t>
  </si>
  <si>
    <t>Arabs and the Art of Storytelling : A Strange Familiarity</t>
  </si>
  <si>
    <t>892.7/0923</t>
  </si>
  <si>
    <t>PJ7519.N25K5513 2014</t>
  </si>
  <si>
    <t>https://ebookcentral.proquest.com/lib/cam/detail.action?docID=4649191</t>
  </si>
  <si>
    <t>Territories of Poverty : Rethinking North and South</t>
  </si>
  <si>
    <t>HC79.P6 -- T46 2015eb</t>
  </si>
  <si>
    <t>https://ebookcentral.proquest.com/lib/cam/detail.action?docID=4397161</t>
  </si>
  <si>
    <t>Iterations of Loss : Mutilation and Aesthetic Form, Al-Shidyaq to Darwish</t>
  </si>
  <si>
    <t>892.7/09</t>
  </si>
  <si>
    <t>PJ7519.P78 -- .S235 2015eb</t>
  </si>
  <si>
    <t>https://ebookcentral.proquest.com/lib/cam/detail.action?docID=3239963</t>
  </si>
  <si>
    <t>Unruly People : Crime, Community, and State in Late Imperial South China</t>
  </si>
  <si>
    <t>DS793.S644.A586 2016</t>
  </si>
  <si>
    <t>https://ebookcentral.proquest.com/lib/cam/detail.action?docID=4724632</t>
  </si>
  <si>
    <t>Foucault in Iran : Islamic Revolution after the Enlightenment</t>
  </si>
  <si>
    <t>B2430.F724 -- .G436 2016eb</t>
  </si>
  <si>
    <t>https://ebookcentral.proquest.com/lib/cam/detail.action?docID=4525968</t>
  </si>
  <si>
    <t>New York Noise : Radical Jewish Music and the Downtown Scene</t>
  </si>
  <si>
    <t>780.89/92407471</t>
  </si>
  <si>
    <t>ML200.8.N5</t>
  </si>
  <si>
    <t>https://ebookcentral.proquest.com/lib/cam/detail.action?docID=2146247</t>
  </si>
  <si>
    <t>Market Orientalism : Cultural Economy and the Arab Gulf States</t>
  </si>
  <si>
    <t>HC415.36.S65 2015</t>
  </si>
  <si>
    <t>https://ebookcentral.proquest.com/lib/cam/detail.action?docID=4649182</t>
  </si>
  <si>
    <t>Understanding Peace and Conflict Through Social Identity Theory : Contemporary Global Perspectives</t>
  </si>
  <si>
    <t>https://ebookcentral.proquest.com/lib/cam/detail.action?docID=4560277</t>
  </si>
  <si>
    <t>New Directions in Development Ethics : Essays in Honor of Denis Goulet</t>
  </si>
  <si>
    <t>HD75 -- .N478 2010eb</t>
  </si>
  <si>
    <t>https://ebookcentral.proquest.com/lib/cam/detail.action?docID=3441016</t>
  </si>
  <si>
    <t>Finding Franklin : The Untold Story of a 165-Year Search</t>
  </si>
  <si>
    <t>G660.P68 2016eb</t>
  </si>
  <si>
    <t>https://ebookcentral.proquest.com/lib/cam/detail.action?docID=4605286</t>
  </si>
  <si>
    <t>City in Common : Culture and Community in Buenos Aires</t>
  </si>
  <si>
    <t>982/.11</t>
  </si>
  <si>
    <t>F3001.2 -- .S367 2016eb</t>
  </si>
  <si>
    <t>https://ebookcentral.proquest.com/lib/cam/detail.action?docID=4528791</t>
  </si>
  <si>
    <t>Samuel Richardson and the Dramatic Novel</t>
  </si>
  <si>
    <t>PR3667.K6 1968eb</t>
  </si>
  <si>
    <t>https://ebookcentral.proquest.com/lib/cam/detail.action?docID=1915635</t>
  </si>
  <si>
    <t>Recovering Jewishness : Modern Identities Reclaimed</t>
  </si>
  <si>
    <t>305.6/96</t>
  </si>
  <si>
    <t>DS143.R556 2016</t>
  </si>
  <si>
    <t>https://ebookcentral.proquest.com/lib/cam/detail.action?docID=4383426</t>
  </si>
  <si>
    <t>Written in Blood : The Battles for Fortress Przemyl in WWI</t>
  </si>
  <si>
    <t>DK4800.P7.T86 2016eb</t>
  </si>
  <si>
    <t>https://ebookcentral.proquest.com/lib/cam/detail.action?docID=4612542</t>
  </si>
  <si>
    <t>This Business of Words : Reassessing Anne Sexton</t>
  </si>
  <si>
    <t>PS3537.E915 Z94 2016</t>
  </si>
  <si>
    <t>https://ebookcentral.proquest.com/lib/cam/detail.action?docID=4723574</t>
  </si>
  <si>
    <t>Exploring the Illusion of Free Will and Moral Responsibility</t>
  </si>
  <si>
    <t>BJ1461 -- .E97 2013eb</t>
  </si>
  <si>
    <t>https://ebookcentral.proquest.com/lib/cam/detail.action?docID=1222029</t>
  </si>
  <si>
    <t>Nation Within a Nation : The American South and the Federal Government</t>
  </si>
  <si>
    <t>F209.N38 2014eb</t>
  </si>
  <si>
    <t>https://ebookcentral.proquest.com/lib/cam/detail.action?docID=1676632</t>
  </si>
  <si>
    <t>In the Absence of the Gift : New Forms of Value and Personhood in a Papua New Guinea Community</t>
  </si>
  <si>
    <t>995.8/1</t>
  </si>
  <si>
    <t>DU740.4 .R37 2015</t>
  </si>
  <si>
    <t>https://ebookcentral.proquest.com/lib/cam/detail.action?docID=4014246</t>
  </si>
  <si>
    <t>Against Religion, Wars, and States : The Case for Enlightenment Atheism, Just War Pacifism, and Liberal-Democratic Anarchism</t>
  </si>
  <si>
    <t>BL2775.3 -- .F53 2013eb</t>
  </si>
  <si>
    <t>https://ebookcentral.proquest.com/lib/cam/detail.action?docID=1352224</t>
  </si>
  <si>
    <t>Handbook on Jeremiah</t>
  </si>
  <si>
    <t>224/.20446</t>
  </si>
  <si>
    <t>BS1525.52 -- .W33 2003eb</t>
  </si>
  <si>
    <t>https://ebookcentral.proquest.com/lib/cam/detail.action?docID=3155508</t>
  </si>
  <si>
    <t>Essays on Ancient Israel in Its near Eastern Context : A Tribute to Nadav Naaman</t>
  </si>
  <si>
    <t>BS1171.3 -- .E87 2006eb</t>
  </si>
  <si>
    <t>https://ebookcentral.proquest.com/lib/cam/detail.action?docID=3155572</t>
  </si>
  <si>
    <t>Her Bread to Earn : Women, Money, and Society from Defoe to Austen</t>
  </si>
  <si>
    <t>PR858.W6.S34 1993eb</t>
  </si>
  <si>
    <t>https://ebookcentral.proquest.com/lib/cam/detail.action?docID=1915198</t>
  </si>
  <si>
    <t>Critical Foundations in Young Adult Literature : Challenging Genres</t>
  </si>
  <si>
    <t>Non-Linear</t>
  </si>
  <si>
    <t>https://ebookcentral.proquest.com/lib/cam/detail.action?docID=3034899</t>
  </si>
  <si>
    <t>Archaeology of Ancestors : Death, Memory, and Veneration</t>
  </si>
  <si>
    <t>CC175 -- .A734 2016eb</t>
  </si>
  <si>
    <t>https://ebookcentral.proquest.com/lib/cam/detail.action?docID=4386053</t>
  </si>
  <si>
    <t>Exploit : A Theory of Networks</t>
  </si>
  <si>
    <t>HM741 -- .G34 2007eb</t>
  </si>
  <si>
    <t>https://ebookcentral.proquest.com/lib/cam/detail.action?docID=328399</t>
  </si>
  <si>
    <t>BBC and Television Genres in Jeopardy</t>
  </si>
  <si>
    <t>HE8689.9.G7 -- .T867 2015eb</t>
  </si>
  <si>
    <t>https://ebookcentral.proquest.com/lib/cam/detail.action?docID=1987249</t>
  </si>
  <si>
    <t>The Lost State of Franklin : America's First Secession</t>
  </si>
  <si>
    <t>976.8/03</t>
  </si>
  <si>
    <t>F436 -- .B268 2010eb</t>
  </si>
  <si>
    <t>https://ebookcentral.proquest.com/lib/cam/detail.action?docID=1915136</t>
  </si>
  <si>
    <t>Bodies of Truth : Law, Memory, and Emancipation in Post-Apartheid South Africa</t>
  </si>
  <si>
    <t>https://ebookcentral.proquest.com/lib/cam/detail.action?docID=4661496</t>
  </si>
  <si>
    <t>The Participatory Condition in the Digital Age</t>
  </si>
  <si>
    <t>302/.14</t>
  </si>
  <si>
    <t>HM771.P378 2016</t>
  </si>
  <si>
    <t>https://ebookcentral.proquest.com/lib/cam/detail.action?docID=4525974</t>
  </si>
  <si>
    <t>Worlds of the Moche on the North Coast of Peru</t>
  </si>
  <si>
    <t>985/.3</t>
  </si>
  <si>
    <t>F3430.1.M6 -- B42 2012eb</t>
  </si>
  <si>
    <t>https://ebookcentral.proquest.com/lib/cam/detail.action?docID=3443603</t>
  </si>
  <si>
    <t>Making Things International 2 : Catalysts and Reactions</t>
  </si>
  <si>
    <t>JZ1319.M372 2016</t>
  </si>
  <si>
    <t>https://ebookcentral.proquest.com/lib/cam/detail.action?docID=4392068</t>
  </si>
  <si>
    <t>Writings : Writings</t>
  </si>
  <si>
    <t>https://ebookcentral.proquest.com/lib/cam/detail.action?docID=3134800</t>
  </si>
  <si>
    <t>Unarrested Archives : Case Studies in Twentieth-Century Canadian Women's Authorship</t>
  </si>
  <si>
    <t>https://ebookcentral.proquest.com/lib/cam/detail.action?docID=4669916</t>
  </si>
  <si>
    <t>French Cinema--A Critical Filmography : Volume 1, 1929-1939</t>
  </si>
  <si>
    <t>PN1993.5.F7 C783 2015</t>
  </si>
  <si>
    <t>https://ebookcentral.proquest.com/lib/cam/detail.action?docID=2069797</t>
  </si>
  <si>
    <t>Dread of Difference</t>
  </si>
  <si>
    <t>PN1995.9.H6 -- .D74 2015eb</t>
  </si>
  <si>
    <t>https://ebookcentral.proquest.com/lib/cam/detail.action?docID=3571889</t>
  </si>
  <si>
    <t>African Americans in U. S. Foreign Policy : From the Era of Frederick Douglass to the Age of Obama</t>
  </si>
  <si>
    <t>https://ebookcentral.proquest.com/lib/cam/detail.action?docID=3414424</t>
  </si>
  <si>
    <t>Speaking Pictures : Neuropsychoanalysis and Authorship in Film and Literature</t>
  </si>
  <si>
    <t>808.301/9</t>
  </si>
  <si>
    <t>PN3352.P7F79 2016</t>
  </si>
  <si>
    <t>https://ebookcentral.proquest.com/lib/cam/detail.action?docID=4452383</t>
  </si>
  <si>
    <t>Necromedia</t>
  </si>
  <si>
    <t>P90 -- .O425 2015eb</t>
  </si>
  <si>
    <t>https://ebookcentral.proquest.com/lib/cam/detail.action?docID=2001954</t>
  </si>
  <si>
    <t>The Recess</t>
  </si>
  <si>
    <t>PR5317.A4 -- .L44 2000eb</t>
  </si>
  <si>
    <t>https://ebookcentral.proquest.com/lib/cam/detail.action?docID=1915465</t>
  </si>
  <si>
    <t>Borrowing of Inflectional Morphemes in Language Contact</t>
  </si>
  <si>
    <t>P251 -- .G37 2008eb</t>
  </si>
  <si>
    <t>https://ebookcentral.proquest.com/lib/cam/detail.action?docID=1658141</t>
  </si>
  <si>
    <t>The Courtesan and the Gigolo : The Murders in the Rue Montaigne and the Dark Side of Empire in Nineteenth-Century Paris</t>
  </si>
  <si>
    <t>364.152/30944361</t>
  </si>
  <si>
    <t>DC337</t>
  </si>
  <si>
    <t>https://ebookcentral.proquest.com/lib/cam/detail.action?docID=4721248</t>
  </si>
  <si>
    <t>Knights of the Golden Circle : Secret Empire, Southern Secession, Civil War</t>
  </si>
  <si>
    <t>E458.8.K44 2013</t>
  </si>
  <si>
    <t>https://ebookcentral.proquest.com/lib/cam/detail.action?docID=1092468</t>
  </si>
  <si>
    <t>In the Shadows of the Dao : Laozi, the Sage, and the Daodejing</t>
  </si>
  <si>
    <t>BL1900.L35M53 2015</t>
  </si>
  <si>
    <t>https://ebookcentral.proquest.com/lib/cam/detail.action?docID=4396628</t>
  </si>
  <si>
    <t>Minorities and the Modern Arab World : New Perspectives</t>
  </si>
  <si>
    <t>305.0917/4927</t>
  </si>
  <si>
    <t>DS36.9.A1</t>
  </si>
  <si>
    <t>https://ebookcentral.proquest.com/lib/cam/detail.action?docID=4649084</t>
  </si>
  <si>
    <t>Memories of Conquest : Becoming Mexicano in Colonial Guatemala</t>
  </si>
  <si>
    <t>972.81/62</t>
  </si>
  <si>
    <t>F1465.1.C57 -- .M388 2012eb</t>
  </si>
  <si>
    <t>https://ebookcentral.proquest.com/lib/cam/detail.action?docID=4321962</t>
  </si>
  <si>
    <t>The Chinese Heroin Trade : Cross-Border Drug Trafficking in Southeast Asia and Beyond</t>
  </si>
  <si>
    <t>HV5840 .C6 C548 2015</t>
  </si>
  <si>
    <t>https://ebookcentral.proquest.com/lib/cam/detail.action?docID=2054540</t>
  </si>
  <si>
    <t>Redesign Your Library Website</t>
  </si>
  <si>
    <t>Computer Science/IT; Library Science</t>
  </si>
  <si>
    <t>Z674.75.W67 -- .W588 2016eb</t>
  </si>
  <si>
    <t>https://ebookcentral.proquest.com/lib/cam/detail.action?docID=4602861</t>
  </si>
  <si>
    <t>Oscar Micheaux and His Circle : African-American Filmmaking and Race Cinema of the Silent Era</t>
  </si>
  <si>
    <t>PN1995.9.N4 -- A37 2001eb</t>
  </si>
  <si>
    <t>https://ebookcentral.proquest.com/lib/cam/detail.action?docID=4452963</t>
  </si>
  <si>
    <t>Covenant in the Persian Period : From Genesis to Chronicles</t>
  </si>
  <si>
    <t>BS680.C67 -- C66 2015eb</t>
  </si>
  <si>
    <t>https://ebookcentral.proquest.com/lib/cam/detail.action?docID=4395042</t>
  </si>
  <si>
    <t>Jews and Humor</t>
  </si>
  <si>
    <t>PN6149.J4 -- J49 2011eb</t>
  </si>
  <si>
    <t>https://ebookcentral.proquest.com/lib/cam/detail.action?docID=3119179</t>
  </si>
  <si>
    <t>A Two-Colored Brocade : The Imagery of Persian Poetry</t>
  </si>
  <si>
    <t>PK6416 .S3513 1992</t>
  </si>
  <si>
    <t>https://ebookcentral.proquest.com/lib/cam/detail.action?docID=1663473</t>
  </si>
  <si>
    <t>Levinas's Ethical Politics</t>
  </si>
  <si>
    <t>B2430.L484M674 2016</t>
  </si>
  <si>
    <t>https://ebookcentral.proquest.com/lib/cam/detail.action?docID=4529423</t>
  </si>
  <si>
    <t>James Baldwin : America and Beyond</t>
  </si>
  <si>
    <t>https://ebookcentral.proquest.com/lib/cam/detail.action?docID=3415020</t>
  </si>
  <si>
    <t>The Age of Lovecraft</t>
  </si>
  <si>
    <t>PS3523.O833Z515 2016</t>
  </si>
  <si>
    <t>https://ebookcentral.proquest.com/lib/cam/detail.action?docID=4392082</t>
  </si>
  <si>
    <t>Radical Future Pasts : Untimely Political Theory</t>
  </si>
  <si>
    <t>JA81.R164 2014</t>
  </si>
  <si>
    <t>https://ebookcentral.proquest.com/lib/cam/detail.action?docID=1712952</t>
  </si>
  <si>
    <t>Gay Fathers, Their Children, and the Making of Kinship</t>
  </si>
  <si>
    <t>306.874/208664</t>
  </si>
  <si>
    <t>HQ76.13 -- .G663 2015eb</t>
  </si>
  <si>
    <t>https://ebookcentral.proquest.com/lib/cam/detail.action?docID=3239976</t>
  </si>
  <si>
    <t>The Excursion</t>
  </si>
  <si>
    <t>PR3326.B37 -- .B33 1997eb</t>
  </si>
  <si>
    <t>https://ebookcentral.proquest.com/lib/cam/detail.action?docID=1915420</t>
  </si>
  <si>
    <t>Movie Comics : Page to Screen/Screen to Page</t>
  </si>
  <si>
    <t>791.43/657</t>
  </si>
  <si>
    <t>PN1995.9.C36D38 2017</t>
  </si>
  <si>
    <t>https://ebookcentral.proquest.com/lib/cam/detail.action?docID=4769487</t>
  </si>
  <si>
    <t>Insects in Literature and the Arts</t>
  </si>
  <si>
    <t>PN56.I63 -- .I574 2014eb</t>
  </si>
  <si>
    <t>https://ebookcentral.proquest.com/lib/cam/detail.action?docID=1952860</t>
  </si>
  <si>
    <t>The Essentials of Ibadi Islam</t>
  </si>
  <si>
    <t>297.8/33</t>
  </si>
  <si>
    <t>BP195.I3H64 2012</t>
  </si>
  <si>
    <t>https://ebookcentral.proquest.com/lib/cam/detail.action?docID=4649186</t>
  </si>
  <si>
    <t>The Transnational Mosque : Architecture and Historical Memory in the Contemporary Middle East</t>
  </si>
  <si>
    <t>297.3/51</t>
  </si>
  <si>
    <t>BP187.62.R59 2015</t>
  </si>
  <si>
    <t>https://ebookcentral.proquest.com/lib/cam/detail.action?docID=4322252</t>
  </si>
  <si>
    <t>The Jesuits and Globalization : Historical Legacies and Contemporary Challenges</t>
  </si>
  <si>
    <t>BX3702.3 -- .J478 2016eb</t>
  </si>
  <si>
    <t>https://ebookcentral.proquest.com/lib/cam/detail.action?docID=4529408</t>
  </si>
  <si>
    <t>Gun Culture in Early Modern England</t>
  </si>
  <si>
    <t>Engineering: Manufacturing; Engineering</t>
  </si>
  <si>
    <t>TS533.4.G7 -- .S396 2016eb</t>
  </si>
  <si>
    <t>https://ebookcentral.proquest.com/lib/cam/detail.action?docID=4517554</t>
  </si>
  <si>
    <t>Religion and the Struggle for European Union : Confessional Culture and the Limits of Integration</t>
  </si>
  <si>
    <t>322/.1094</t>
  </si>
  <si>
    <t>BL65.P7 -- N45 2015eb</t>
  </si>
  <si>
    <t>https://ebookcentral.proquest.com/lib/cam/detail.action?docID=2038715</t>
  </si>
  <si>
    <t>Divided Sovereignties : Race, Nationhood, and Citizenship in Nineteenth-Century America</t>
  </si>
  <si>
    <t>E184.A1.Z84 2016eb</t>
  </si>
  <si>
    <t>https://ebookcentral.proquest.com/lib/cam/detail.action?docID=4625365</t>
  </si>
  <si>
    <t>Béla Tarr, the Time After</t>
  </si>
  <si>
    <t>PN1998.3.T3646 .R384 2015</t>
  </si>
  <si>
    <t>https://ebookcentral.proquest.com/lib/cam/detail.action?docID=2129524</t>
  </si>
  <si>
    <t>Doctrine of the Analogy of Being According to Saint Thomas Aquinas</t>
  </si>
  <si>
    <t>Marquette University Press</t>
  </si>
  <si>
    <t>111/.1/092</t>
  </si>
  <si>
    <t>B765.T54 -- M62613 2004eb</t>
  </si>
  <si>
    <t>https://ebookcentral.proquest.com/lib/cam/detail.action?docID=3017107</t>
  </si>
  <si>
    <t>Black Like Who? : Writing Black Canada, Second Revised Edition</t>
  </si>
  <si>
    <t>Insomniac Press</t>
  </si>
  <si>
    <t>305.896/071</t>
  </si>
  <si>
    <t>F1035.N3 -- W325 2003eb</t>
  </si>
  <si>
    <t>https://ebookcentral.proquest.com/lib/cam/detail.action?docID=3247967</t>
  </si>
  <si>
    <t>Henslowe's Rose : The Stage and Staging</t>
  </si>
  <si>
    <t>PN2596.L7.R477 1976</t>
  </si>
  <si>
    <t>https://ebookcentral.proquest.com/lib/cam/detail.action?docID=1915887</t>
  </si>
  <si>
    <t>Anti-Apollinarian Writings</t>
  </si>
  <si>
    <t>BT1340</t>
  </si>
  <si>
    <t>https://ebookcentral.proquest.com/lib/cam/detail.action?docID=4412732</t>
  </si>
  <si>
    <t>Domestic Abuse and Sexual Assault in Popular Culture</t>
  </si>
  <si>
    <t>P96.V52 -- .F565 2016eb</t>
  </si>
  <si>
    <t>https://ebookcentral.proquest.com/lib/cam/detail.action?docID=4504561</t>
  </si>
  <si>
    <t>This Is Our Life : Haida Material Heritage and Changing Museum Practice</t>
  </si>
  <si>
    <t>E76.85 -- .K76 2013eb</t>
  </si>
  <si>
    <t>https://ebookcentral.proquest.com/lib/cam/detail.action?docID=3412877</t>
  </si>
  <si>
    <t>Cairo Pop : Youth Music in Contemporary Egypt</t>
  </si>
  <si>
    <t>306.4/84230962</t>
  </si>
  <si>
    <t>ML3503.E3 -- .G55 2014eb</t>
  </si>
  <si>
    <t>https://ebookcentral.proquest.com/lib/cam/detail.action?docID=1833633</t>
  </si>
  <si>
    <t>Native American DNA : Tribal Belonging and the False Promise of Genetic Science</t>
  </si>
  <si>
    <t>E98.A55 -- T35 2013eb</t>
  </si>
  <si>
    <t>https://ebookcentral.proquest.com/lib/cam/detail.action?docID=1362022</t>
  </si>
  <si>
    <t>Polygyny : What It Means When African American Muslim Women Share Their Husbands</t>
  </si>
  <si>
    <t>306.84/23</t>
  </si>
  <si>
    <t>GN480.35 -- .M35 2015eb</t>
  </si>
  <si>
    <t>https://ebookcentral.proquest.com/lib/cam/detail.action?docID=2030223</t>
  </si>
  <si>
    <t>A World Trimmed with Fur : Wild Things, Pristine Places, and the Natural Fringes of Qing Rule</t>
  </si>
  <si>
    <t>951/.03</t>
  </si>
  <si>
    <t>https://ebookcentral.proquest.com/lib/cam/detail.action?docID=4749832</t>
  </si>
  <si>
    <t>The Renaissance and Reformation in Northern Europe</t>
  </si>
  <si>
    <t>University of Toronto Press Higher Education</t>
  </si>
  <si>
    <t>CB361 -- .R33 2014eb</t>
  </si>
  <si>
    <t>https://ebookcentral.proquest.com/lib/cam/detail.action?docID=3295713</t>
  </si>
  <si>
    <t>Soundtrack of the Revolution : The Politics of Music in Iran</t>
  </si>
  <si>
    <t>780.955/09048</t>
  </si>
  <si>
    <t>https://ebookcentral.proquest.com/lib/cam/detail.action?docID=4749835</t>
  </si>
  <si>
    <t>Currency Power : Understanding Monetary Rivalry</t>
  </si>
  <si>
    <t>HG925</t>
  </si>
  <si>
    <t>https://ebookcentral.proquest.com/lib/cam/detail.action?docID=2028319</t>
  </si>
  <si>
    <t>Building the British Atlantic World : Spaces, Places, and Material Culture, 1600-1850</t>
  </si>
  <si>
    <t>941/.009821</t>
  </si>
  <si>
    <t>DA123.B85 2016</t>
  </si>
  <si>
    <t>https://ebookcentral.proquest.com/lib/cam/detail.action?docID=4443601</t>
  </si>
  <si>
    <t>From Comrades to Bodhisattvas : Moral Dimensions of Lay Buddhist Practice in Contemporary China</t>
  </si>
  <si>
    <t>294.30951/156</t>
  </si>
  <si>
    <t>BQ4960.C6 -- .F58 2014eb</t>
  </si>
  <si>
    <t>https://ebookcentral.proquest.com/lib/cam/detail.action?docID=3413771</t>
  </si>
  <si>
    <t>Scenes of the Apple : Food and the Female Body in Nineteenth- and Twentieth-Century Women's Writing</t>
  </si>
  <si>
    <t>809/.93352042</t>
  </si>
  <si>
    <t>PN56.5.W64 -- S28 2003eb</t>
  </si>
  <si>
    <t>https://ebookcentral.proquest.com/lib/cam/detail.action?docID=3408624</t>
  </si>
  <si>
    <t>The City of God, Books XVII-XXII</t>
  </si>
  <si>
    <t>BR60.F3 -- A8218 2008eb</t>
  </si>
  <si>
    <t>https://ebookcentral.proquest.com/lib/cam/detail.action?docID=3134882</t>
  </si>
  <si>
    <t>Coalition Challenges in Afghanistan : The Politics of Alliance</t>
  </si>
  <si>
    <t>958.104/73</t>
  </si>
  <si>
    <t>DS371</t>
  </si>
  <si>
    <t>https://ebookcentral.proquest.com/lib/cam/detail.action?docID=4414739</t>
  </si>
  <si>
    <t>Debating Divorce : Moral Conflict in Ireland</t>
  </si>
  <si>
    <t>HQ878.D55 1993eb</t>
  </si>
  <si>
    <t>https://ebookcentral.proquest.com/lib/cam/detail.action?docID=1915155</t>
  </si>
  <si>
    <t>Conversations with Bourdieu : The Johannesburg Moment</t>
  </si>
  <si>
    <t>Wits University Press</t>
  </si>
  <si>
    <t>HM479.B68</t>
  </si>
  <si>
    <t>https://ebookcentral.proquest.com/lib/cam/detail.action?docID=2065914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</si>
</sst>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3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2" fontId="0" fillId="0" borderId="0" xfId="0" applyNumberFormat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77"/>
  <sheetViews>
    <sheetView tabSelected="1" workbookViewId="0">
      <selection sqref="A1:XFD1048576"/>
    </sheetView>
  </sheetViews>
  <sheetFormatPr defaultColWidth="23.5703125" defaultRowHeight="15" x14ac:dyDescent="0.25"/>
  <cols>
    <col min="1" max="16384" width="23.5703125" style="2"/>
  </cols>
  <sheetData>
    <row r="1" spans="1:10" ht="45" x14ac:dyDescent="0.25">
      <c r="A1" s="1" t="s">
        <v>5</v>
      </c>
      <c r="B1" s="1" t="s">
        <v>6</v>
      </c>
      <c r="C1" s="1" t="s">
        <v>7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8</v>
      </c>
      <c r="I1" s="1" t="s">
        <v>0</v>
      </c>
      <c r="J1" s="1" t="s">
        <v>9</v>
      </c>
    </row>
    <row r="2" spans="1:10" ht="135" x14ac:dyDescent="0.25">
      <c r="A2" s="2" t="s">
        <v>10227</v>
      </c>
      <c r="B2" s="2">
        <v>636.70941000000005</v>
      </c>
      <c r="C2" s="2" t="s">
        <v>10228</v>
      </c>
      <c r="D2" s="2" t="s">
        <v>10226</v>
      </c>
      <c r="E2" s="2" t="s">
        <v>28</v>
      </c>
      <c r="F2" s="3">
        <v>42107</v>
      </c>
      <c r="G2" s="2" t="str">
        <f>"9780813936871"</f>
        <v>9780813936871</v>
      </c>
      <c r="H2" s="2" t="s">
        <v>14</v>
      </c>
      <c r="I2" s="4">
        <v>43080.823611111111</v>
      </c>
      <c r="J2" s="2" t="s">
        <v>10229</v>
      </c>
    </row>
    <row r="3" spans="1:10" ht="165" x14ac:dyDescent="0.25">
      <c r="A3" s="2" t="s">
        <v>10227</v>
      </c>
      <c r="B3" s="2">
        <v>635.0942</v>
      </c>
      <c r="C3" s="2" t="s">
        <v>10797</v>
      </c>
      <c r="D3" s="2" t="s">
        <v>10796</v>
      </c>
      <c r="E3" s="2" t="s">
        <v>28</v>
      </c>
      <c r="F3" s="3">
        <v>41691</v>
      </c>
      <c r="G3" s="2" t="str">
        <f>"9780813935379"</f>
        <v>9780813935379</v>
      </c>
      <c r="H3" s="2" t="s">
        <v>14</v>
      </c>
      <c r="I3" s="4">
        <v>43035.825694444444</v>
      </c>
      <c r="J3" s="2" t="s">
        <v>10798</v>
      </c>
    </row>
    <row r="4" spans="1:10" ht="165" x14ac:dyDescent="0.25">
      <c r="A4" s="2" t="s">
        <v>6324</v>
      </c>
      <c r="B4" s="2" t="s">
        <v>9574</v>
      </c>
      <c r="C4" s="2" t="s">
        <v>9575</v>
      </c>
      <c r="D4" s="2" t="s">
        <v>9573</v>
      </c>
      <c r="E4" s="2" t="s">
        <v>627</v>
      </c>
      <c r="F4" s="3">
        <v>41399</v>
      </c>
      <c r="G4" s="2" t="str">
        <f>"9789633860489"</f>
        <v>9789633860489</v>
      </c>
      <c r="H4" s="2" t="s">
        <v>14</v>
      </c>
      <c r="I4" s="4">
        <v>43150.558333333334</v>
      </c>
      <c r="J4" s="2" t="s">
        <v>9576</v>
      </c>
    </row>
    <row r="5" spans="1:10" ht="135" x14ac:dyDescent="0.25">
      <c r="A5" s="2" t="s">
        <v>6324</v>
      </c>
      <c r="B5" s="2">
        <v>331.5</v>
      </c>
      <c r="C5" s="2" t="s">
        <v>6325</v>
      </c>
      <c r="D5" s="2" t="s">
        <v>6323</v>
      </c>
      <c r="E5" s="2" t="s">
        <v>578</v>
      </c>
      <c r="F5" s="3">
        <v>41793</v>
      </c>
      <c r="G5" s="2" t="str">
        <f>"9780252096471"</f>
        <v>9780252096471</v>
      </c>
      <c r="H5" s="2" t="s">
        <v>14</v>
      </c>
      <c r="I5" s="4">
        <v>43525.480555555558</v>
      </c>
      <c r="J5" s="2" t="s">
        <v>6326</v>
      </c>
    </row>
    <row r="6" spans="1:10" ht="135" x14ac:dyDescent="0.25">
      <c r="A6" s="2" t="s">
        <v>1303</v>
      </c>
      <c r="B6" s="2" t="s">
        <v>1304</v>
      </c>
      <c r="C6" s="2" t="s">
        <v>1305</v>
      </c>
      <c r="D6" s="2" t="s">
        <v>1302</v>
      </c>
      <c r="E6" s="2" t="s">
        <v>260</v>
      </c>
      <c r="F6" s="3">
        <v>43627</v>
      </c>
      <c r="G6" s="2" t="str">
        <f>"9781439916933"</f>
        <v>9781439916933</v>
      </c>
      <c r="H6" s="2" t="s">
        <v>14</v>
      </c>
      <c r="I6" s="4">
        <v>43950.486805555556</v>
      </c>
      <c r="J6" s="2" t="s">
        <v>1306</v>
      </c>
    </row>
    <row r="7" spans="1:10" ht="135" x14ac:dyDescent="0.25">
      <c r="A7" s="2" t="s">
        <v>42</v>
      </c>
      <c r="B7" s="2">
        <v>331.7</v>
      </c>
      <c r="C7" s="2" t="s">
        <v>3508</v>
      </c>
      <c r="D7" s="2" t="s">
        <v>3507</v>
      </c>
      <c r="E7" s="2" t="s">
        <v>73</v>
      </c>
      <c r="F7" s="3">
        <v>42527</v>
      </c>
      <c r="G7" s="2" t="str">
        <f>"9781452951645"</f>
        <v>9781452951645</v>
      </c>
      <c r="H7" s="2" t="s">
        <v>14</v>
      </c>
      <c r="I7" s="4">
        <v>43778.654861111114</v>
      </c>
      <c r="J7" s="2" t="s">
        <v>3509</v>
      </c>
    </row>
    <row r="8" spans="1:10" ht="165" x14ac:dyDescent="0.25">
      <c r="A8" s="2" t="s">
        <v>42</v>
      </c>
      <c r="B8" s="2">
        <v>338.3714120994</v>
      </c>
      <c r="C8" s="2" t="s">
        <v>43</v>
      </c>
      <c r="D8" s="2" t="s">
        <v>40</v>
      </c>
      <c r="E8" s="2" t="s">
        <v>41</v>
      </c>
      <c r="F8" s="3">
        <v>43690</v>
      </c>
      <c r="G8" s="2" t="str">
        <f>"9780817392383"</f>
        <v>9780817392383</v>
      </c>
      <c r="H8" s="2" t="s">
        <v>14</v>
      </c>
      <c r="I8" s="4">
        <v>44074.679166666669</v>
      </c>
      <c r="J8" s="2" t="s">
        <v>44</v>
      </c>
    </row>
    <row r="9" spans="1:10" ht="180" x14ac:dyDescent="0.25">
      <c r="A9" s="2" t="s">
        <v>5229</v>
      </c>
      <c r="B9" s="2" t="s">
        <v>5230</v>
      </c>
      <c r="C9" s="2" t="s">
        <v>5231</v>
      </c>
      <c r="D9" s="2" t="s">
        <v>5228</v>
      </c>
      <c r="E9" s="2" t="s">
        <v>156</v>
      </c>
      <c r="F9" s="3">
        <v>42100</v>
      </c>
      <c r="G9" s="2" t="str">
        <f>"9781469623306"</f>
        <v>9781469623306</v>
      </c>
      <c r="H9" s="2" t="s">
        <v>14</v>
      </c>
      <c r="I9" s="4">
        <v>43607.750694444447</v>
      </c>
      <c r="J9" s="2" t="s">
        <v>5232</v>
      </c>
    </row>
    <row r="10" spans="1:10" ht="135" x14ac:dyDescent="0.25">
      <c r="A10" s="2" t="s">
        <v>1486</v>
      </c>
      <c r="B10" s="2">
        <v>394.12090000000001</v>
      </c>
      <c r="C10" s="2" t="s">
        <v>1487</v>
      </c>
      <c r="D10" s="2" t="s">
        <v>1485</v>
      </c>
      <c r="E10" s="2" t="s">
        <v>466</v>
      </c>
      <c r="F10" s="3">
        <v>41927</v>
      </c>
      <c r="G10" s="2" t="str">
        <f>"9781780233925"</f>
        <v>9781780233925</v>
      </c>
      <c r="H10" s="2" t="s">
        <v>14</v>
      </c>
      <c r="I10" s="4">
        <v>43941.574305555558</v>
      </c>
      <c r="J10" s="2" t="s">
        <v>1488</v>
      </c>
    </row>
    <row r="11" spans="1:10" ht="135" x14ac:dyDescent="0.25">
      <c r="A11" s="2" t="s">
        <v>702</v>
      </c>
      <c r="D11" s="2" t="s">
        <v>1544</v>
      </c>
      <c r="E11" s="2" t="s">
        <v>397</v>
      </c>
      <c r="F11" s="3">
        <v>43893</v>
      </c>
      <c r="G11" s="2" t="str">
        <f>"9780822987444"</f>
        <v>9780822987444</v>
      </c>
      <c r="H11" s="2" t="s">
        <v>14</v>
      </c>
      <c r="I11" s="4">
        <v>43937.947916666664</v>
      </c>
      <c r="J11" s="2" t="s">
        <v>1545</v>
      </c>
    </row>
    <row r="12" spans="1:10" ht="135" x14ac:dyDescent="0.25">
      <c r="A12" s="2" t="s">
        <v>702</v>
      </c>
      <c r="B12" s="2">
        <v>720.47</v>
      </c>
      <c r="C12" s="2" t="s">
        <v>7306</v>
      </c>
      <c r="D12" s="2" t="s">
        <v>7305</v>
      </c>
      <c r="E12" s="2" t="s">
        <v>578</v>
      </c>
      <c r="F12" s="3">
        <v>43304</v>
      </c>
      <c r="G12" s="2" t="str">
        <f>"9780252050367"</f>
        <v>9780252050367</v>
      </c>
      <c r="H12" s="2" t="s">
        <v>14</v>
      </c>
      <c r="I12" s="4">
        <v>43426.425000000003</v>
      </c>
      <c r="J12" s="2" t="s">
        <v>7307</v>
      </c>
    </row>
    <row r="13" spans="1:10" ht="195" x14ac:dyDescent="0.25">
      <c r="A13" s="2" t="s">
        <v>702</v>
      </c>
      <c r="B13" s="2">
        <v>728.09769470000003</v>
      </c>
      <c r="C13" s="2" t="s">
        <v>9753</v>
      </c>
      <c r="D13" s="2" t="s">
        <v>9752</v>
      </c>
      <c r="E13" s="2" t="s">
        <v>4660</v>
      </c>
      <c r="F13" s="3">
        <v>41827</v>
      </c>
      <c r="G13" s="2" t="str">
        <f>"9780813165158"</f>
        <v>9780813165158</v>
      </c>
      <c r="H13" s="2" t="s">
        <v>14</v>
      </c>
      <c r="I13" s="4">
        <v>43132.539583333331</v>
      </c>
      <c r="J13" s="2" t="s">
        <v>9754</v>
      </c>
    </row>
    <row r="14" spans="1:10" ht="135" x14ac:dyDescent="0.25">
      <c r="A14" s="2" t="s">
        <v>702</v>
      </c>
      <c r="B14" s="2">
        <v>720</v>
      </c>
      <c r="C14" s="2" t="s">
        <v>6738</v>
      </c>
      <c r="D14" s="2" t="s">
        <v>6737</v>
      </c>
      <c r="E14" s="2" t="s">
        <v>460</v>
      </c>
      <c r="F14" s="3">
        <v>34403</v>
      </c>
      <c r="G14" s="2" t="str">
        <f>"9780773564497"</f>
        <v>9780773564497</v>
      </c>
      <c r="H14" s="2" t="s">
        <v>14</v>
      </c>
      <c r="I14" s="4">
        <v>43490.412499999999</v>
      </c>
      <c r="J14" s="2" t="s">
        <v>6739</v>
      </c>
    </row>
    <row r="15" spans="1:10" ht="135" x14ac:dyDescent="0.25">
      <c r="A15" s="2" t="s">
        <v>702</v>
      </c>
      <c r="B15" s="2" t="s">
        <v>2487</v>
      </c>
      <c r="C15" s="2" t="s">
        <v>2488</v>
      </c>
      <c r="D15" s="2" t="s">
        <v>2486</v>
      </c>
      <c r="E15" s="2" t="s">
        <v>856</v>
      </c>
      <c r="F15" s="3">
        <v>43209</v>
      </c>
      <c r="G15" s="2" t="str">
        <f>"9780295742359"</f>
        <v>9780295742359</v>
      </c>
      <c r="H15" s="2" t="s">
        <v>14</v>
      </c>
      <c r="I15" s="4">
        <v>43881.6875</v>
      </c>
      <c r="J15" s="2" t="s">
        <v>2489</v>
      </c>
    </row>
    <row r="16" spans="1:10" ht="135" x14ac:dyDescent="0.25">
      <c r="A16" s="2" t="s">
        <v>702</v>
      </c>
      <c r="B16" s="2">
        <v>720.92</v>
      </c>
      <c r="C16" s="2" t="s">
        <v>8150</v>
      </c>
      <c r="D16" s="2" t="s">
        <v>8149</v>
      </c>
      <c r="E16" s="2" t="s">
        <v>73</v>
      </c>
      <c r="F16" s="3">
        <v>41744</v>
      </c>
      <c r="G16" s="2" t="str">
        <f>"9781452940960"</f>
        <v>9781452940960</v>
      </c>
      <c r="H16" s="2" t="s">
        <v>14</v>
      </c>
      <c r="I16" s="4">
        <v>43347.62222222222</v>
      </c>
      <c r="J16" s="2" t="s">
        <v>8151</v>
      </c>
    </row>
    <row r="17" spans="1:10" ht="135" x14ac:dyDescent="0.25">
      <c r="A17" s="2" t="s">
        <v>702</v>
      </c>
      <c r="B17" s="2">
        <v>720.94309034000003</v>
      </c>
      <c r="C17" s="2" t="s">
        <v>5802</v>
      </c>
      <c r="D17" s="2" t="s">
        <v>5801</v>
      </c>
      <c r="E17" s="2" t="s">
        <v>397</v>
      </c>
      <c r="F17" s="3">
        <v>42909</v>
      </c>
      <c r="G17" s="2" t="str">
        <f>"9780822982913"</f>
        <v>9780822982913</v>
      </c>
      <c r="H17" s="2" t="s">
        <v>14</v>
      </c>
      <c r="I17" s="4">
        <v>43570.345833333333</v>
      </c>
      <c r="J17" s="2" t="s">
        <v>5803</v>
      </c>
    </row>
    <row r="18" spans="1:10" ht="135" x14ac:dyDescent="0.25">
      <c r="A18" s="2" t="s">
        <v>702</v>
      </c>
      <c r="D18" s="2" t="s">
        <v>701</v>
      </c>
      <c r="E18" s="2" t="s">
        <v>436</v>
      </c>
      <c r="F18" s="3">
        <v>40483</v>
      </c>
      <c r="G18" s="2" t="str">
        <f>"9781847887061"</f>
        <v>9781847887061</v>
      </c>
      <c r="H18" s="2" t="s">
        <v>14</v>
      </c>
      <c r="I18" s="4">
        <v>43997.7</v>
      </c>
      <c r="J18" s="2" t="s">
        <v>703</v>
      </c>
    </row>
    <row r="19" spans="1:10" ht="180" x14ac:dyDescent="0.25">
      <c r="A19" s="2" t="s">
        <v>702</v>
      </c>
      <c r="B19" s="2">
        <v>720.95109030000003</v>
      </c>
      <c r="C19" s="2" t="s">
        <v>8341</v>
      </c>
      <c r="D19" s="2" t="s">
        <v>8340</v>
      </c>
      <c r="E19" s="2" t="s">
        <v>221</v>
      </c>
      <c r="F19" s="3">
        <v>42564</v>
      </c>
      <c r="G19" s="2" t="str">
        <f>"9789888313679"</f>
        <v>9789888313679</v>
      </c>
      <c r="H19" s="2" t="s">
        <v>14</v>
      </c>
      <c r="I19" s="4">
        <v>43319.454861111109</v>
      </c>
      <c r="J19" s="2" t="s">
        <v>8342</v>
      </c>
    </row>
    <row r="20" spans="1:10" ht="135" x14ac:dyDescent="0.25">
      <c r="A20" s="2" t="s">
        <v>702</v>
      </c>
      <c r="B20" s="2">
        <v>724.6</v>
      </c>
      <c r="C20" s="2" t="s">
        <v>7878</v>
      </c>
      <c r="D20" s="2" t="s">
        <v>7877</v>
      </c>
      <c r="E20" s="2" t="s">
        <v>526</v>
      </c>
      <c r="F20" s="3">
        <v>43160</v>
      </c>
      <c r="G20" s="2" t="str">
        <f>"9781477314975"</f>
        <v>9781477314975</v>
      </c>
      <c r="H20" s="2" t="s">
        <v>14</v>
      </c>
      <c r="I20" s="4">
        <v>43382.40902777778</v>
      </c>
      <c r="J20" s="2" t="s">
        <v>7879</v>
      </c>
    </row>
    <row r="21" spans="1:10" ht="135" x14ac:dyDescent="0.25">
      <c r="A21" s="2" t="s">
        <v>702</v>
      </c>
      <c r="B21" s="2">
        <v>720.94521099999997</v>
      </c>
      <c r="C21" s="2" t="s">
        <v>8147</v>
      </c>
      <c r="D21" s="2" t="s">
        <v>8146</v>
      </c>
      <c r="E21" s="2" t="s">
        <v>846</v>
      </c>
      <c r="F21" s="3">
        <v>41677</v>
      </c>
      <c r="G21" s="2" t="str">
        <f>"9781442665255"</f>
        <v>9781442665255</v>
      </c>
      <c r="H21" s="2" t="s">
        <v>14</v>
      </c>
      <c r="I21" s="4">
        <v>43347.625</v>
      </c>
      <c r="J21" s="2" t="s">
        <v>8148</v>
      </c>
    </row>
    <row r="22" spans="1:10" ht="135" x14ac:dyDescent="0.25">
      <c r="A22" s="2" t="s">
        <v>702</v>
      </c>
      <c r="B22" s="2" t="s">
        <v>2968</v>
      </c>
      <c r="C22" s="2" t="s">
        <v>5361</v>
      </c>
      <c r="D22" s="2" t="s">
        <v>5360</v>
      </c>
      <c r="E22" s="2" t="s">
        <v>397</v>
      </c>
      <c r="F22" s="3">
        <v>43251</v>
      </c>
      <c r="G22" s="2" t="str">
        <f>"9780822986065"</f>
        <v>9780822986065</v>
      </c>
      <c r="H22" s="2" t="s">
        <v>14</v>
      </c>
      <c r="I22" s="4">
        <v>43604.061805555553</v>
      </c>
      <c r="J22" s="2" t="s">
        <v>5362</v>
      </c>
    </row>
    <row r="23" spans="1:10" ht="135" x14ac:dyDescent="0.25">
      <c r="A23" s="2" t="s">
        <v>702</v>
      </c>
      <c r="B23" s="2">
        <v>720.10299999999995</v>
      </c>
      <c r="C23" s="2" t="s">
        <v>1793</v>
      </c>
      <c r="D23" s="2" t="s">
        <v>1792</v>
      </c>
      <c r="E23" s="2" t="s">
        <v>28</v>
      </c>
      <c r="F23" s="3">
        <v>43431</v>
      </c>
      <c r="G23" s="2" t="str">
        <f>"9780813941806"</f>
        <v>9780813941806</v>
      </c>
      <c r="H23" s="2" t="s">
        <v>14</v>
      </c>
      <c r="I23" s="4">
        <v>43926.911805555559</v>
      </c>
      <c r="J23" s="2" t="s">
        <v>1794</v>
      </c>
    </row>
    <row r="24" spans="1:10" ht="165" x14ac:dyDescent="0.25">
      <c r="A24" s="2" t="s">
        <v>702</v>
      </c>
      <c r="B24" s="2">
        <v>720</v>
      </c>
      <c r="C24" s="2" t="s">
        <v>3750</v>
      </c>
      <c r="D24" s="2" t="s">
        <v>3749</v>
      </c>
      <c r="E24" s="2" t="s">
        <v>521</v>
      </c>
      <c r="F24" s="3">
        <v>43419</v>
      </c>
      <c r="G24" s="2" t="str">
        <f>"9789461662606"</f>
        <v>9789461662606</v>
      </c>
      <c r="H24" s="2" t="s">
        <v>14</v>
      </c>
      <c r="I24" s="4">
        <v>43758.699305555558</v>
      </c>
      <c r="J24" s="2" t="s">
        <v>3751</v>
      </c>
    </row>
    <row r="25" spans="1:10" ht="135" x14ac:dyDescent="0.25">
      <c r="A25" s="2" t="s">
        <v>702</v>
      </c>
      <c r="B25" s="2">
        <v>720.1</v>
      </c>
      <c r="C25" s="2" t="s">
        <v>12294</v>
      </c>
      <c r="D25" s="2" t="s">
        <v>12293</v>
      </c>
      <c r="E25" s="2" t="s">
        <v>256</v>
      </c>
      <c r="F25" s="3">
        <v>42394</v>
      </c>
      <c r="G25" s="2" t="str">
        <f>"9780821445365"</f>
        <v>9780821445365</v>
      </c>
      <c r="H25" s="2" t="s">
        <v>14</v>
      </c>
      <c r="I25" s="4">
        <v>42819.165277777778</v>
      </c>
      <c r="J25" s="2" t="s">
        <v>12295</v>
      </c>
    </row>
    <row r="26" spans="1:10" ht="135" x14ac:dyDescent="0.25">
      <c r="A26" s="2" t="s">
        <v>702</v>
      </c>
      <c r="B26" s="2" t="s">
        <v>6875</v>
      </c>
      <c r="C26" s="2" t="s">
        <v>6876</v>
      </c>
      <c r="D26" s="2" t="s">
        <v>6874</v>
      </c>
      <c r="E26" s="2" t="s">
        <v>397</v>
      </c>
      <c r="F26" s="3">
        <v>42760</v>
      </c>
      <c r="G26" s="2" t="str">
        <f>"9780822981626"</f>
        <v>9780822981626</v>
      </c>
      <c r="H26" s="2" t="s">
        <v>14</v>
      </c>
      <c r="I26" s="4">
        <v>43479.806250000001</v>
      </c>
      <c r="J26" s="2" t="s">
        <v>6877</v>
      </c>
    </row>
    <row r="27" spans="1:10" ht="135" x14ac:dyDescent="0.25">
      <c r="A27" s="2" t="s">
        <v>702</v>
      </c>
      <c r="B27" s="2" t="s">
        <v>10782</v>
      </c>
      <c r="C27" s="2" t="s">
        <v>10783</v>
      </c>
      <c r="D27" s="2" t="s">
        <v>10781</v>
      </c>
      <c r="E27" s="2" t="s">
        <v>526</v>
      </c>
      <c r="F27" s="3">
        <v>41214</v>
      </c>
      <c r="G27" s="2" t="str">
        <f>"9780292738898"</f>
        <v>9780292738898</v>
      </c>
      <c r="H27" s="2" t="s">
        <v>14</v>
      </c>
      <c r="I27" s="4">
        <v>43037.57916666667</v>
      </c>
      <c r="J27" s="2" t="s">
        <v>10784</v>
      </c>
    </row>
    <row r="28" spans="1:10" ht="150" x14ac:dyDescent="0.25">
      <c r="A28" s="2" t="s">
        <v>702</v>
      </c>
      <c r="B28" s="2" t="s">
        <v>9883</v>
      </c>
      <c r="C28" s="2" t="s">
        <v>9884</v>
      </c>
      <c r="D28" s="2" t="s">
        <v>9882</v>
      </c>
      <c r="E28" s="2" t="s">
        <v>73</v>
      </c>
      <c r="F28" s="3">
        <v>41913</v>
      </c>
      <c r="G28" s="2" t="str">
        <f>"9781452943497"</f>
        <v>9781452943497</v>
      </c>
      <c r="H28" s="2" t="s">
        <v>14</v>
      </c>
      <c r="I28" s="4">
        <v>43122.939583333333</v>
      </c>
      <c r="J28" s="2" t="s">
        <v>9885</v>
      </c>
    </row>
    <row r="29" spans="1:10" ht="135" x14ac:dyDescent="0.25">
      <c r="A29" s="2" t="s">
        <v>702</v>
      </c>
      <c r="B29" s="2">
        <v>720.48299999999995</v>
      </c>
      <c r="C29" s="2" t="s">
        <v>4819</v>
      </c>
      <c r="D29" s="2" t="s">
        <v>4818</v>
      </c>
      <c r="E29" s="2" t="s">
        <v>28</v>
      </c>
      <c r="F29" s="3">
        <v>42894</v>
      </c>
      <c r="G29" s="2" t="str">
        <f>"9780813939735"</f>
        <v>9780813939735</v>
      </c>
      <c r="H29" s="2" t="s">
        <v>14</v>
      </c>
      <c r="I29" s="4">
        <v>43623.825694444444</v>
      </c>
      <c r="J29" s="2" t="s">
        <v>4820</v>
      </c>
    </row>
    <row r="30" spans="1:10" ht="150" x14ac:dyDescent="0.25">
      <c r="A30" s="2" t="s">
        <v>702</v>
      </c>
      <c r="B30" s="2" t="s">
        <v>2968</v>
      </c>
      <c r="C30" s="2" t="s">
        <v>5802</v>
      </c>
      <c r="D30" s="2" t="s">
        <v>12390</v>
      </c>
      <c r="E30" s="2" t="s">
        <v>8233</v>
      </c>
      <c r="F30" s="3">
        <v>42512</v>
      </c>
      <c r="G30" s="2" t="str">
        <f>"9781611689693"</f>
        <v>9781611689693</v>
      </c>
      <c r="H30" s="2" t="s">
        <v>14</v>
      </c>
      <c r="I30" s="4">
        <v>42811.601388888892</v>
      </c>
      <c r="J30" s="2" t="s">
        <v>12391</v>
      </c>
    </row>
    <row r="31" spans="1:10" ht="135" x14ac:dyDescent="0.25">
      <c r="A31" s="2" t="s">
        <v>702</v>
      </c>
      <c r="B31" s="2" t="s">
        <v>2968</v>
      </c>
      <c r="C31" s="2" t="s">
        <v>8864</v>
      </c>
      <c r="D31" s="2" t="s">
        <v>8863</v>
      </c>
      <c r="E31" s="2" t="s">
        <v>69</v>
      </c>
      <c r="F31" s="3">
        <v>42485</v>
      </c>
      <c r="G31" s="2" t="str">
        <f>"9780253019172"</f>
        <v>9780253019172</v>
      </c>
      <c r="H31" s="2" t="s">
        <v>14</v>
      </c>
      <c r="I31" s="4">
        <v>43245.466666666667</v>
      </c>
      <c r="J31" s="2" t="s">
        <v>8865</v>
      </c>
    </row>
    <row r="32" spans="1:10" ht="135" x14ac:dyDescent="0.25">
      <c r="A32" s="2" t="s">
        <v>702</v>
      </c>
      <c r="B32" s="2" t="s">
        <v>2968</v>
      </c>
      <c r="C32" s="2" t="s">
        <v>2969</v>
      </c>
      <c r="D32" s="2" t="s">
        <v>2967</v>
      </c>
      <c r="E32" s="2" t="s">
        <v>526</v>
      </c>
      <c r="F32" s="3">
        <v>43314</v>
      </c>
      <c r="G32" s="2" t="str">
        <f>"9781477315774"</f>
        <v>9781477315774</v>
      </c>
      <c r="H32" s="2" t="s">
        <v>14</v>
      </c>
      <c r="I32" s="4">
        <v>43837.627083333333</v>
      </c>
      <c r="J32" s="2" t="s">
        <v>2970</v>
      </c>
    </row>
    <row r="33" spans="1:10" ht="135" x14ac:dyDescent="0.25">
      <c r="A33" s="2" t="s">
        <v>702</v>
      </c>
      <c r="B33" s="2">
        <v>720.10299999999995</v>
      </c>
      <c r="C33" s="2" t="s">
        <v>4483</v>
      </c>
      <c r="D33" s="2" t="s">
        <v>4482</v>
      </c>
      <c r="E33" s="2" t="s">
        <v>69</v>
      </c>
      <c r="F33" s="3">
        <v>43546</v>
      </c>
      <c r="G33" s="2" t="str">
        <f>"9780253039996"</f>
        <v>9780253039996</v>
      </c>
      <c r="H33" s="2" t="s">
        <v>14</v>
      </c>
      <c r="I33" s="4">
        <v>43661.470833333333</v>
      </c>
      <c r="J33" s="2" t="s">
        <v>4484</v>
      </c>
    </row>
    <row r="34" spans="1:10" ht="135" x14ac:dyDescent="0.25">
      <c r="A34" s="2" t="s">
        <v>59</v>
      </c>
      <c r="B34" s="2" t="s">
        <v>10810</v>
      </c>
      <c r="C34" s="2" t="s">
        <v>10811</v>
      </c>
      <c r="D34" s="2" t="s">
        <v>10809</v>
      </c>
      <c r="E34" s="2" t="s">
        <v>1698</v>
      </c>
      <c r="F34" s="3">
        <v>41807</v>
      </c>
      <c r="G34" s="2" t="str">
        <f>"9780674369368"</f>
        <v>9780674369368</v>
      </c>
      <c r="H34" s="2" t="s">
        <v>14</v>
      </c>
      <c r="I34" s="4">
        <v>43034.847916666666</v>
      </c>
      <c r="J34" s="2" t="s">
        <v>10812</v>
      </c>
    </row>
    <row r="35" spans="1:10" ht="135" x14ac:dyDescent="0.25">
      <c r="A35" s="2" t="s">
        <v>59</v>
      </c>
      <c r="B35" s="2">
        <v>658.4</v>
      </c>
      <c r="C35" s="2" t="s">
        <v>2630</v>
      </c>
      <c r="D35" s="2" t="s">
        <v>2629</v>
      </c>
      <c r="E35" s="2" t="s">
        <v>54</v>
      </c>
      <c r="F35" s="3">
        <v>42431</v>
      </c>
      <c r="G35" s="2" t="str">
        <f>"9780804798020"</f>
        <v>9780804798020</v>
      </c>
      <c r="H35" s="2" t="s">
        <v>14</v>
      </c>
      <c r="I35" s="4">
        <v>43872.443749999999</v>
      </c>
      <c r="J35" s="2" t="s">
        <v>2631</v>
      </c>
    </row>
    <row r="36" spans="1:10" ht="150" x14ac:dyDescent="0.25">
      <c r="A36" s="2" t="s">
        <v>59</v>
      </c>
      <c r="B36" s="2">
        <v>382.30952000000002</v>
      </c>
      <c r="C36" s="2" t="s">
        <v>5966</v>
      </c>
      <c r="D36" s="2" t="s">
        <v>5965</v>
      </c>
      <c r="E36" s="2" t="s">
        <v>268</v>
      </c>
      <c r="F36" s="3">
        <v>42948</v>
      </c>
      <c r="G36" s="2" t="str">
        <f>"9780815729204"</f>
        <v>9780815729204</v>
      </c>
      <c r="H36" s="2" t="s">
        <v>14</v>
      </c>
      <c r="I36" s="4">
        <v>43552.672222222223</v>
      </c>
      <c r="J36" s="2" t="s">
        <v>5967</v>
      </c>
    </row>
    <row r="37" spans="1:10" ht="135" x14ac:dyDescent="0.25">
      <c r="A37" s="2" t="s">
        <v>59</v>
      </c>
      <c r="D37" s="2" t="s">
        <v>1371</v>
      </c>
      <c r="E37" s="2" t="s">
        <v>54</v>
      </c>
      <c r="F37" s="3">
        <v>43935</v>
      </c>
      <c r="G37" s="2" t="str">
        <f>"9781503611863"</f>
        <v>9781503611863</v>
      </c>
      <c r="H37" s="2" t="s">
        <v>14</v>
      </c>
      <c r="I37" s="4">
        <v>43947.041666666664</v>
      </c>
      <c r="J37" s="2" t="s">
        <v>1372</v>
      </c>
    </row>
    <row r="38" spans="1:10" ht="135" x14ac:dyDescent="0.25">
      <c r="A38" s="2" t="s">
        <v>59</v>
      </c>
      <c r="B38" s="2">
        <v>388.46097300000002</v>
      </c>
      <c r="C38" s="2" t="s">
        <v>5053</v>
      </c>
      <c r="D38" s="2" t="s">
        <v>5052</v>
      </c>
      <c r="E38" s="2" t="s">
        <v>69</v>
      </c>
      <c r="F38" s="3">
        <v>42674</v>
      </c>
      <c r="G38" s="2" t="str">
        <f>"9780253023209"</f>
        <v>9780253023209</v>
      </c>
      <c r="H38" s="2" t="s">
        <v>14</v>
      </c>
      <c r="I38" s="4">
        <v>43611.706944444442</v>
      </c>
      <c r="J38" s="2" t="s">
        <v>5054</v>
      </c>
    </row>
    <row r="39" spans="1:10" ht="255" x14ac:dyDescent="0.25">
      <c r="A39" s="2" t="s">
        <v>59</v>
      </c>
      <c r="B39" s="2">
        <v>658.51400000000001</v>
      </c>
      <c r="C39" s="2" t="s">
        <v>6028</v>
      </c>
      <c r="D39" s="2" t="s">
        <v>6027</v>
      </c>
      <c r="E39" s="2" t="s">
        <v>80</v>
      </c>
      <c r="F39" s="3">
        <v>42181</v>
      </c>
      <c r="G39" s="2" t="str">
        <f>"9783653057089"</f>
        <v>9783653057089</v>
      </c>
      <c r="H39" s="2" t="s">
        <v>14</v>
      </c>
      <c r="I39" s="4">
        <v>43549.407638888886</v>
      </c>
      <c r="J39" s="2" t="s">
        <v>6029</v>
      </c>
    </row>
    <row r="40" spans="1:10" ht="135" x14ac:dyDescent="0.25">
      <c r="A40" s="2" t="s">
        <v>59</v>
      </c>
      <c r="B40" s="2">
        <v>385.09760903400002</v>
      </c>
      <c r="C40" s="2" t="s">
        <v>1140</v>
      </c>
      <c r="D40" s="2" t="s">
        <v>1139</v>
      </c>
      <c r="E40" s="2" t="s">
        <v>156</v>
      </c>
      <c r="F40" s="3">
        <v>43801</v>
      </c>
      <c r="G40" s="2" t="str">
        <f>"9781469652832"</f>
        <v>9781469652832</v>
      </c>
      <c r="H40" s="2" t="s">
        <v>14</v>
      </c>
      <c r="I40" s="4">
        <v>43960.426388888889</v>
      </c>
      <c r="J40" s="2" t="s">
        <v>1141</v>
      </c>
    </row>
    <row r="41" spans="1:10" ht="165" x14ac:dyDescent="0.25">
      <c r="A41" s="2" t="s">
        <v>59</v>
      </c>
      <c r="B41" s="2">
        <v>385.09770903399999</v>
      </c>
      <c r="C41" s="2" t="s">
        <v>5043</v>
      </c>
      <c r="D41" s="2" t="s">
        <v>5042</v>
      </c>
      <c r="E41" s="2" t="s">
        <v>455</v>
      </c>
      <c r="F41" s="3">
        <v>42689</v>
      </c>
      <c r="G41" s="2" t="str">
        <f>"9781631012365"</f>
        <v>9781631012365</v>
      </c>
      <c r="H41" s="2" t="s">
        <v>14</v>
      </c>
      <c r="I41" s="4">
        <v>43611.71875</v>
      </c>
      <c r="J41" s="2" t="s">
        <v>5044</v>
      </c>
    </row>
    <row r="42" spans="1:10" ht="165" x14ac:dyDescent="0.25">
      <c r="A42" s="2" t="s">
        <v>59</v>
      </c>
      <c r="B42" s="2" t="s">
        <v>3302</v>
      </c>
      <c r="C42" s="2" t="s">
        <v>3303</v>
      </c>
      <c r="D42" s="2" t="s">
        <v>3301</v>
      </c>
      <c r="E42" s="2" t="s">
        <v>390</v>
      </c>
      <c r="F42" s="3">
        <v>43189</v>
      </c>
      <c r="G42" s="2" t="str">
        <f>"9780268102999"</f>
        <v>9780268102999</v>
      </c>
      <c r="H42" s="2" t="s">
        <v>14</v>
      </c>
      <c r="I42" s="4">
        <v>43791.625</v>
      </c>
      <c r="J42" s="2" t="s">
        <v>3304</v>
      </c>
    </row>
    <row r="43" spans="1:10" ht="135" x14ac:dyDescent="0.25">
      <c r="A43" s="2" t="s">
        <v>59</v>
      </c>
      <c r="B43" s="2">
        <v>382.71090340000001</v>
      </c>
      <c r="C43" s="2" t="s">
        <v>8144</v>
      </c>
      <c r="D43" s="2" t="s">
        <v>8143</v>
      </c>
      <c r="E43" s="2" t="s">
        <v>221</v>
      </c>
      <c r="F43" s="3">
        <v>41852</v>
      </c>
      <c r="G43" s="2" t="str">
        <f>"9789888268849"</f>
        <v>9789888268849</v>
      </c>
      <c r="H43" s="2" t="s">
        <v>14</v>
      </c>
      <c r="I43" s="4">
        <v>43347.640277777777</v>
      </c>
      <c r="J43" s="2" t="s">
        <v>8145</v>
      </c>
    </row>
    <row r="44" spans="1:10" ht="135" x14ac:dyDescent="0.25">
      <c r="A44" s="2" t="s">
        <v>59</v>
      </c>
      <c r="B44" s="2" t="s">
        <v>4372</v>
      </c>
      <c r="C44" s="2" t="s">
        <v>4373</v>
      </c>
      <c r="D44" s="2" t="s">
        <v>4371</v>
      </c>
      <c r="E44" s="2" t="s">
        <v>156</v>
      </c>
      <c r="F44" s="3">
        <v>42814</v>
      </c>
      <c r="G44" s="2" t="str">
        <f>"9781469631929"</f>
        <v>9781469631929</v>
      </c>
      <c r="H44" s="2" t="s">
        <v>14</v>
      </c>
      <c r="I44" s="4">
        <v>43677.244444444441</v>
      </c>
      <c r="J44" s="2" t="s">
        <v>4374</v>
      </c>
    </row>
    <row r="45" spans="1:10" ht="135" x14ac:dyDescent="0.25">
      <c r="A45" s="2" t="s">
        <v>59</v>
      </c>
      <c r="B45" s="2" t="s">
        <v>1164</v>
      </c>
      <c r="C45" s="2" t="s">
        <v>1165</v>
      </c>
      <c r="D45" s="2" t="s">
        <v>1163</v>
      </c>
      <c r="E45" s="2" t="s">
        <v>54</v>
      </c>
      <c r="F45" s="3">
        <v>43578</v>
      </c>
      <c r="G45" s="2" t="str">
        <f>"9781503608474"</f>
        <v>9781503608474</v>
      </c>
      <c r="H45" s="2" t="s">
        <v>14</v>
      </c>
      <c r="I45" s="4">
        <v>43958.531944444447</v>
      </c>
      <c r="J45" s="2" t="s">
        <v>1166</v>
      </c>
    </row>
    <row r="46" spans="1:10" ht="135" x14ac:dyDescent="0.25">
      <c r="A46" s="2" t="s">
        <v>59</v>
      </c>
      <c r="B46" s="2">
        <v>388.30966699999999</v>
      </c>
      <c r="C46" s="2" t="s">
        <v>12124</v>
      </c>
      <c r="D46" s="2" t="s">
        <v>12123</v>
      </c>
      <c r="E46" s="2" t="s">
        <v>69</v>
      </c>
      <c r="F46" s="3">
        <v>42646</v>
      </c>
      <c r="G46" s="2" t="str">
        <f>"9780253023254"</f>
        <v>9780253023254</v>
      </c>
      <c r="H46" s="2" t="s">
        <v>14</v>
      </c>
      <c r="I46" s="4">
        <v>42847.326388888891</v>
      </c>
      <c r="J46" s="2" t="s">
        <v>12125</v>
      </c>
    </row>
    <row r="47" spans="1:10" ht="135" x14ac:dyDescent="0.25">
      <c r="A47" s="2" t="s">
        <v>59</v>
      </c>
      <c r="B47" s="2">
        <v>387</v>
      </c>
      <c r="C47" s="2" t="s">
        <v>8362</v>
      </c>
      <c r="D47" s="2" t="s">
        <v>8361</v>
      </c>
      <c r="E47" s="2" t="s">
        <v>322</v>
      </c>
      <c r="F47" s="3">
        <v>42917</v>
      </c>
      <c r="G47" s="2" t="str">
        <f>"9780820350943"</f>
        <v>9780820350943</v>
      </c>
      <c r="H47" s="2" t="s">
        <v>14</v>
      </c>
      <c r="I47" s="4">
        <v>43316.439583333333</v>
      </c>
      <c r="J47" s="2" t="s">
        <v>8363</v>
      </c>
    </row>
    <row r="48" spans="1:10" ht="135" x14ac:dyDescent="0.25">
      <c r="A48" s="2" t="s">
        <v>59</v>
      </c>
      <c r="B48" s="2">
        <v>658.40099999999995</v>
      </c>
      <c r="C48" s="2" t="s">
        <v>9090</v>
      </c>
      <c r="D48" s="2" t="s">
        <v>9089</v>
      </c>
      <c r="E48" s="2" t="s">
        <v>723</v>
      </c>
      <c r="F48" s="3">
        <v>42170</v>
      </c>
      <c r="G48" s="2" t="str">
        <f>"9781612493831"</f>
        <v>9781612493831</v>
      </c>
      <c r="H48" s="2" t="s">
        <v>14</v>
      </c>
      <c r="I48" s="4">
        <v>43219.047222222223</v>
      </c>
      <c r="J48" s="2" t="s">
        <v>9091</v>
      </c>
    </row>
    <row r="49" spans="1:10" ht="180" x14ac:dyDescent="0.25">
      <c r="A49" s="2" t="s">
        <v>59</v>
      </c>
      <c r="C49" s="2" t="s">
        <v>60</v>
      </c>
      <c r="D49" s="2" t="s">
        <v>57</v>
      </c>
      <c r="E49" s="2" t="s">
        <v>58</v>
      </c>
      <c r="F49" s="3">
        <v>43942</v>
      </c>
      <c r="G49" s="2" t="str">
        <f>"9780299326333"</f>
        <v>9780299326333</v>
      </c>
      <c r="H49" s="2" t="s">
        <v>14</v>
      </c>
      <c r="I49" s="4">
        <v>44074.675694444442</v>
      </c>
      <c r="J49" s="2" t="s">
        <v>61</v>
      </c>
    </row>
    <row r="50" spans="1:10" ht="165" x14ac:dyDescent="0.25">
      <c r="A50" s="2" t="s">
        <v>59</v>
      </c>
      <c r="B50" s="2" t="s">
        <v>5090</v>
      </c>
      <c r="C50" s="2" t="s">
        <v>5091</v>
      </c>
      <c r="D50" s="2" t="s">
        <v>5089</v>
      </c>
      <c r="E50" s="2" t="s">
        <v>216</v>
      </c>
      <c r="F50" s="3">
        <v>43132</v>
      </c>
      <c r="G50" s="2" t="str">
        <f>"9781438468259"</f>
        <v>9781438468259</v>
      </c>
      <c r="H50" s="2" t="s">
        <v>14</v>
      </c>
      <c r="I50" s="4">
        <v>43611.027777777781</v>
      </c>
      <c r="J50" s="2" t="s">
        <v>5092</v>
      </c>
    </row>
    <row r="51" spans="1:10" ht="135" x14ac:dyDescent="0.25">
      <c r="A51" s="2" t="s">
        <v>59</v>
      </c>
      <c r="B51" s="2">
        <v>658.404</v>
      </c>
      <c r="C51" s="2" t="s">
        <v>10141</v>
      </c>
      <c r="D51" s="2" t="s">
        <v>10140</v>
      </c>
      <c r="E51" s="2" t="s">
        <v>723</v>
      </c>
      <c r="F51" s="3">
        <v>42444</v>
      </c>
      <c r="G51" s="2" t="str">
        <f>"9781612494562"</f>
        <v>9781612494562</v>
      </c>
      <c r="H51" s="2" t="s">
        <v>14</v>
      </c>
      <c r="I51" s="4">
        <v>43095.174305555556</v>
      </c>
      <c r="J51" s="2" t="s">
        <v>10142</v>
      </c>
    </row>
    <row r="52" spans="1:10" ht="135" x14ac:dyDescent="0.25">
      <c r="A52" s="2" t="s">
        <v>59</v>
      </c>
      <c r="B52" s="2" t="s">
        <v>10817</v>
      </c>
      <c r="C52" s="2" t="s">
        <v>10818</v>
      </c>
      <c r="D52" s="2" t="s">
        <v>10816</v>
      </c>
      <c r="E52" s="2" t="s">
        <v>156</v>
      </c>
      <c r="F52" s="3">
        <v>42384</v>
      </c>
      <c r="G52" s="2" t="str">
        <f>"9781469625287"</f>
        <v>9781469625287</v>
      </c>
      <c r="H52" s="2" t="s">
        <v>14</v>
      </c>
      <c r="I52" s="4">
        <v>43034.762499999997</v>
      </c>
      <c r="J52" s="2" t="s">
        <v>10819</v>
      </c>
    </row>
    <row r="53" spans="1:10" ht="135" x14ac:dyDescent="0.25">
      <c r="A53" s="2" t="s">
        <v>59</v>
      </c>
      <c r="B53" s="2" t="s">
        <v>4650</v>
      </c>
      <c r="C53" s="2" t="s">
        <v>4651</v>
      </c>
      <c r="D53" s="2" t="s">
        <v>4649</v>
      </c>
      <c r="E53" s="2" t="s">
        <v>156</v>
      </c>
      <c r="F53" s="3">
        <v>42415</v>
      </c>
      <c r="G53" s="2" t="str">
        <f>"9781469623153"</f>
        <v>9781469623153</v>
      </c>
      <c r="H53" s="2" t="s">
        <v>14</v>
      </c>
      <c r="I53" s="4">
        <v>43641.718055555553</v>
      </c>
      <c r="J53" s="2" t="s">
        <v>4652</v>
      </c>
    </row>
    <row r="54" spans="1:10" ht="150" x14ac:dyDescent="0.25">
      <c r="A54" s="2" t="s">
        <v>59</v>
      </c>
      <c r="B54" s="2">
        <v>382</v>
      </c>
      <c r="C54" s="2" t="s">
        <v>7081</v>
      </c>
      <c r="D54" s="2" t="s">
        <v>7080</v>
      </c>
      <c r="E54" s="2" t="s">
        <v>246</v>
      </c>
      <c r="F54" s="3">
        <v>42705</v>
      </c>
      <c r="G54" s="2" t="str">
        <f>"9783447195751"</f>
        <v>9783447195751</v>
      </c>
      <c r="H54" s="2" t="s">
        <v>14</v>
      </c>
      <c r="I54" s="4">
        <v>43451.611805555556</v>
      </c>
      <c r="J54" s="2" t="s">
        <v>7082</v>
      </c>
    </row>
    <row r="55" spans="1:10" ht="135" x14ac:dyDescent="0.25">
      <c r="A55" s="2" t="s">
        <v>59</v>
      </c>
      <c r="B55" s="2">
        <v>658.40920000000006</v>
      </c>
      <c r="C55" s="2" t="s">
        <v>9079</v>
      </c>
      <c r="D55" s="2" t="s">
        <v>9078</v>
      </c>
      <c r="E55" s="2" t="s">
        <v>54</v>
      </c>
      <c r="F55" s="3">
        <v>42060</v>
      </c>
      <c r="G55" s="2" t="str">
        <f>"9780804794251"</f>
        <v>9780804794251</v>
      </c>
      <c r="H55" s="2" t="s">
        <v>14</v>
      </c>
      <c r="I55" s="4">
        <v>43219.051388888889</v>
      </c>
      <c r="J55" s="2" t="s">
        <v>9080</v>
      </c>
    </row>
    <row r="56" spans="1:10" ht="135" x14ac:dyDescent="0.25">
      <c r="A56" s="2" t="s">
        <v>59</v>
      </c>
      <c r="B56" s="2">
        <v>381.18098153090301</v>
      </c>
      <c r="C56" s="2" t="s">
        <v>5226</v>
      </c>
      <c r="D56" s="2" t="s">
        <v>5225</v>
      </c>
      <c r="E56" s="2" t="s">
        <v>526</v>
      </c>
      <c r="F56" s="3">
        <v>43012</v>
      </c>
      <c r="G56" s="2" t="str">
        <f>"9781477313572"</f>
        <v>9781477313572</v>
      </c>
      <c r="H56" s="2" t="s">
        <v>14</v>
      </c>
      <c r="I56" s="4">
        <v>43607.754166666666</v>
      </c>
      <c r="J56" s="2" t="s">
        <v>5227</v>
      </c>
    </row>
    <row r="57" spans="1:10" ht="135" x14ac:dyDescent="0.25">
      <c r="A57" s="2" t="s">
        <v>59</v>
      </c>
      <c r="B57" s="2">
        <v>650.1</v>
      </c>
      <c r="C57" s="2" t="s">
        <v>9069</v>
      </c>
      <c r="D57" s="2" t="s">
        <v>9068</v>
      </c>
      <c r="E57" s="2" t="s">
        <v>705</v>
      </c>
      <c r="F57" s="3">
        <v>42479</v>
      </c>
      <c r="G57" s="2" t="str">
        <f>"9781400880270"</f>
        <v>9781400880270</v>
      </c>
      <c r="H57" s="2" t="s">
        <v>14</v>
      </c>
      <c r="I57" s="4">
        <v>43220.462500000001</v>
      </c>
      <c r="J57" s="2" t="s">
        <v>9070</v>
      </c>
    </row>
    <row r="58" spans="1:10" ht="165" x14ac:dyDescent="0.25">
      <c r="A58" s="2" t="s">
        <v>59</v>
      </c>
      <c r="B58" s="2">
        <v>387.5</v>
      </c>
      <c r="C58" s="2" t="s">
        <v>3414</v>
      </c>
      <c r="D58" s="2" t="s">
        <v>3413</v>
      </c>
      <c r="E58" s="2" t="s">
        <v>156</v>
      </c>
      <c r="F58" s="3">
        <v>41671</v>
      </c>
      <c r="G58" s="2" t="str">
        <f>"9781469603322"</f>
        <v>9781469603322</v>
      </c>
      <c r="H58" s="2" t="s">
        <v>14</v>
      </c>
      <c r="I58" s="4">
        <v>43783.987500000003</v>
      </c>
      <c r="J58" s="2" t="s">
        <v>3415</v>
      </c>
    </row>
    <row r="59" spans="1:10" ht="135" x14ac:dyDescent="0.25">
      <c r="A59" s="2" t="s">
        <v>59</v>
      </c>
      <c r="B59" s="2">
        <v>658.40809172399997</v>
      </c>
      <c r="C59" s="2" t="s">
        <v>8550</v>
      </c>
      <c r="D59" s="2" t="s">
        <v>8549</v>
      </c>
      <c r="E59" s="2" t="s">
        <v>54</v>
      </c>
      <c r="F59" s="3">
        <v>42375</v>
      </c>
      <c r="G59" s="2" t="str">
        <f>"9780804797337"</f>
        <v>9780804797337</v>
      </c>
      <c r="H59" s="2" t="s">
        <v>14</v>
      </c>
      <c r="I59" s="4">
        <v>43289.456250000003</v>
      </c>
      <c r="J59" s="2" t="s">
        <v>8551</v>
      </c>
    </row>
    <row r="60" spans="1:10" ht="135" x14ac:dyDescent="0.25">
      <c r="A60" s="2" t="s">
        <v>59</v>
      </c>
      <c r="B60" s="2">
        <v>385.09773000000001</v>
      </c>
      <c r="C60" s="2" t="s">
        <v>5050</v>
      </c>
      <c r="D60" s="2" t="s">
        <v>5049</v>
      </c>
      <c r="E60" s="2" t="s">
        <v>69</v>
      </c>
      <c r="F60" s="3">
        <v>42389</v>
      </c>
      <c r="G60" s="2" t="str">
        <f>"9780253019127"</f>
        <v>9780253019127</v>
      </c>
      <c r="H60" s="2" t="s">
        <v>14</v>
      </c>
      <c r="I60" s="4">
        <v>43611.709027777775</v>
      </c>
      <c r="J60" s="2" t="s">
        <v>5051</v>
      </c>
    </row>
    <row r="61" spans="1:10" ht="135" x14ac:dyDescent="0.25">
      <c r="A61" s="2" t="s">
        <v>59</v>
      </c>
      <c r="B61" s="2" t="s">
        <v>883</v>
      </c>
      <c r="C61" s="2" t="s">
        <v>884</v>
      </c>
      <c r="D61" s="2" t="s">
        <v>882</v>
      </c>
      <c r="E61" s="2" t="s">
        <v>69</v>
      </c>
      <c r="F61" s="3">
        <v>43158</v>
      </c>
      <c r="G61" s="2" t="str">
        <f>"9780253032171"</f>
        <v>9780253032171</v>
      </c>
      <c r="H61" s="2" t="s">
        <v>14</v>
      </c>
      <c r="I61" s="4">
        <v>43977.434027777781</v>
      </c>
      <c r="J61" s="2" t="s">
        <v>885</v>
      </c>
    </row>
    <row r="62" spans="1:10" ht="150" x14ac:dyDescent="0.25">
      <c r="A62" s="2" t="s">
        <v>59</v>
      </c>
      <c r="B62" s="2" t="s">
        <v>5046</v>
      </c>
      <c r="C62" s="2" t="s">
        <v>5047</v>
      </c>
      <c r="D62" s="2" t="s">
        <v>5045</v>
      </c>
      <c r="E62" s="2" t="s">
        <v>69</v>
      </c>
      <c r="F62" s="3">
        <v>41746</v>
      </c>
      <c r="G62" s="2" t="str">
        <f>"9780253011879"</f>
        <v>9780253011879</v>
      </c>
      <c r="H62" s="2" t="s">
        <v>14</v>
      </c>
      <c r="I62" s="4">
        <v>43611.713888888888</v>
      </c>
      <c r="J62" s="2" t="s">
        <v>5048</v>
      </c>
    </row>
    <row r="63" spans="1:10" ht="135" x14ac:dyDescent="0.25">
      <c r="A63" s="2" t="s">
        <v>59</v>
      </c>
      <c r="B63" s="2">
        <v>388.10966830000001</v>
      </c>
      <c r="C63" s="2" t="s">
        <v>5368</v>
      </c>
      <c r="D63" s="2" t="s">
        <v>5367</v>
      </c>
      <c r="E63" s="2" t="s">
        <v>73</v>
      </c>
      <c r="F63" s="3">
        <v>42752</v>
      </c>
      <c r="G63" s="2" t="str">
        <f>"9781452952147"</f>
        <v>9781452952147</v>
      </c>
      <c r="H63" s="2" t="s">
        <v>14</v>
      </c>
      <c r="I63" s="4">
        <v>43603.631249999999</v>
      </c>
      <c r="J63" s="2" t="s">
        <v>5369</v>
      </c>
    </row>
    <row r="64" spans="1:10" ht="135" x14ac:dyDescent="0.25">
      <c r="A64" s="2" t="s">
        <v>59</v>
      </c>
      <c r="B64" s="2" t="s">
        <v>11266</v>
      </c>
      <c r="C64" s="2" t="s">
        <v>11267</v>
      </c>
      <c r="D64" s="2" t="s">
        <v>11265</v>
      </c>
      <c r="E64" s="2" t="s">
        <v>54</v>
      </c>
      <c r="F64" s="3">
        <v>42627</v>
      </c>
      <c r="G64" s="2" t="str">
        <f>"9780804799867"</f>
        <v>9780804799867</v>
      </c>
      <c r="H64" s="2" t="s">
        <v>14</v>
      </c>
      <c r="I64" s="4">
        <v>42997.643055555556</v>
      </c>
      <c r="J64" s="2" t="s">
        <v>11268</v>
      </c>
    </row>
    <row r="65" spans="1:10" ht="135" x14ac:dyDescent="0.25">
      <c r="A65" s="2" t="s">
        <v>59</v>
      </c>
      <c r="B65" s="2">
        <v>658.3</v>
      </c>
      <c r="C65" s="2" t="s">
        <v>2109</v>
      </c>
      <c r="D65" s="2" t="s">
        <v>2107</v>
      </c>
      <c r="E65" s="2" t="s">
        <v>2108</v>
      </c>
      <c r="F65" s="3">
        <v>43583</v>
      </c>
      <c r="G65" s="2" t="str">
        <f>"9780749480691"</f>
        <v>9780749480691</v>
      </c>
      <c r="H65" s="2" t="s">
        <v>14</v>
      </c>
      <c r="I65" s="4">
        <v>43913.538888888892</v>
      </c>
      <c r="J65" s="2" t="s">
        <v>2110</v>
      </c>
    </row>
    <row r="66" spans="1:10" ht="135" x14ac:dyDescent="0.25">
      <c r="A66" s="2" t="s">
        <v>59</v>
      </c>
      <c r="B66" s="2" t="s">
        <v>11297</v>
      </c>
      <c r="C66" s="2" t="s">
        <v>11298</v>
      </c>
      <c r="D66" s="2" t="s">
        <v>11296</v>
      </c>
      <c r="E66" s="2" t="s">
        <v>180</v>
      </c>
      <c r="F66" s="3">
        <v>41656</v>
      </c>
      <c r="G66" s="2" t="str">
        <f>"9781479814688"</f>
        <v>9781479814688</v>
      </c>
      <c r="H66" s="2" t="s">
        <v>14</v>
      </c>
      <c r="I66" s="4">
        <v>42992.52847222222</v>
      </c>
      <c r="J66" s="2" t="s">
        <v>11299</v>
      </c>
    </row>
    <row r="67" spans="1:10" ht="135" x14ac:dyDescent="0.25">
      <c r="A67" s="2" t="s">
        <v>59</v>
      </c>
      <c r="C67" s="2" t="s">
        <v>872</v>
      </c>
      <c r="D67" s="2" t="s">
        <v>871</v>
      </c>
      <c r="E67" s="2" t="s">
        <v>578</v>
      </c>
      <c r="F67" s="3">
        <v>43383</v>
      </c>
      <c r="G67" s="2" t="str">
        <f>"9780252050626"</f>
        <v>9780252050626</v>
      </c>
      <c r="H67" s="2" t="s">
        <v>14</v>
      </c>
      <c r="I67" s="4">
        <v>43978.546527777777</v>
      </c>
      <c r="J67" s="2" t="s">
        <v>873</v>
      </c>
    </row>
    <row r="68" spans="1:10" ht="135" x14ac:dyDescent="0.25">
      <c r="A68" s="2" t="s">
        <v>3902</v>
      </c>
      <c r="B68" s="2">
        <v>338.10962999999998</v>
      </c>
      <c r="C68" s="2" t="s">
        <v>3903</v>
      </c>
      <c r="D68" s="2" t="s">
        <v>3901</v>
      </c>
      <c r="E68" s="2" t="s">
        <v>58</v>
      </c>
      <c r="F68" s="3">
        <v>43291</v>
      </c>
      <c r="G68" s="2" t="str">
        <f>"9780299316334"</f>
        <v>9780299316334</v>
      </c>
      <c r="H68" s="2" t="s">
        <v>14</v>
      </c>
      <c r="I68" s="4">
        <v>43741.363194444442</v>
      </c>
      <c r="J68" s="2" t="s">
        <v>3904</v>
      </c>
    </row>
    <row r="69" spans="1:10" ht="150" x14ac:dyDescent="0.25">
      <c r="A69" s="2" t="s">
        <v>11276</v>
      </c>
      <c r="B69" s="2">
        <v>333.91</v>
      </c>
      <c r="C69" s="2" t="s">
        <v>11277</v>
      </c>
      <c r="D69" s="2" t="s">
        <v>11275</v>
      </c>
      <c r="E69" s="2" t="s">
        <v>73</v>
      </c>
      <c r="F69" s="3">
        <v>41913</v>
      </c>
      <c r="G69" s="2" t="str">
        <f>"9781452943718"</f>
        <v>9781452943718</v>
      </c>
      <c r="H69" s="2" t="s">
        <v>14</v>
      </c>
      <c r="I69" s="4">
        <v>42995.737500000003</v>
      </c>
      <c r="J69" s="2" t="s">
        <v>11278</v>
      </c>
    </row>
    <row r="70" spans="1:10" ht="180" x14ac:dyDescent="0.25">
      <c r="A70" s="2" t="s">
        <v>175</v>
      </c>
      <c r="B70" s="2" t="s">
        <v>11003</v>
      </c>
      <c r="C70" s="2" t="s">
        <v>11004</v>
      </c>
      <c r="D70" s="2" t="s">
        <v>11002</v>
      </c>
      <c r="E70" s="2" t="s">
        <v>216</v>
      </c>
      <c r="F70" s="3">
        <v>42186</v>
      </c>
      <c r="G70" s="2" t="str">
        <f>"9781438456898"</f>
        <v>9781438456898</v>
      </c>
      <c r="H70" s="2" t="s">
        <v>14</v>
      </c>
      <c r="I70" s="4">
        <v>43023.765277777777</v>
      </c>
      <c r="J70" s="2" t="s">
        <v>11005</v>
      </c>
    </row>
    <row r="71" spans="1:10" ht="165" x14ac:dyDescent="0.25">
      <c r="A71" s="2" t="s">
        <v>175</v>
      </c>
      <c r="B71" s="2">
        <v>338.96</v>
      </c>
      <c r="C71" s="2" t="s">
        <v>12163</v>
      </c>
      <c r="D71" s="2" t="s">
        <v>12162</v>
      </c>
      <c r="E71" s="2" t="s">
        <v>8768</v>
      </c>
      <c r="F71" s="3">
        <v>41767</v>
      </c>
      <c r="G71" s="2" t="str">
        <f>"9781442228481"</f>
        <v>9781442228481</v>
      </c>
      <c r="H71" s="2" t="s">
        <v>14</v>
      </c>
      <c r="I71" s="4">
        <v>42841.725694444445</v>
      </c>
      <c r="J71" s="2" t="s">
        <v>12164</v>
      </c>
    </row>
    <row r="72" spans="1:10" ht="135" x14ac:dyDescent="0.25">
      <c r="A72" s="2" t="s">
        <v>175</v>
      </c>
      <c r="B72" s="2">
        <v>331.88097299999998</v>
      </c>
      <c r="C72" s="2" t="s">
        <v>6381</v>
      </c>
      <c r="D72" s="2" t="s">
        <v>8556</v>
      </c>
      <c r="E72" s="2" t="s">
        <v>578</v>
      </c>
      <c r="F72" s="3">
        <v>42815</v>
      </c>
      <c r="G72" s="2" t="str">
        <f>"9780252099311"</f>
        <v>9780252099311</v>
      </c>
      <c r="H72" s="2" t="s">
        <v>14</v>
      </c>
      <c r="I72" s="4">
        <v>43288.679861111108</v>
      </c>
      <c r="J72" s="2" t="s">
        <v>8557</v>
      </c>
    </row>
    <row r="73" spans="1:10" ht="135" x14ac:dyDescent="0.25">
      <c r="A73" s="2" t="s">
        <v>175</v>
      </c>
      <c r="B73" s="2" t="s">
        <v>7513</v>
      </c>
      <c r="C73" s="2" t="s">
        <v>7514</v>
      </c>
      <c r="D73" s="2" t="s">
        <v>7512</v>
      </c>
      <c r="E73" s="2" t="s">
        <v>705</v>
      </c>
      <c r="F73" s="3">
        <v>42949</v>
      </c>
      <c r="G73" s="2" t="str">
        <f>"9781400885657"</f>
        <v>9781400885657</v>
      </c>
      <c r="H73" s="2" t="s">
        <v>14</v>
      </c>
      <c r="I73" s="4">
        <v>43411.652777777781</v>
      </c>
      <c r="J73" s="2" t="s">
        <v>7515</v>
      </c>
    </row>
    <row r="74" spans="1:10" ht="135" x14ac:dyDescent="0.25">
      <c r="A74" s="2" t="s">
        <v>175</v>
      </c>
      <c r="B74" s="2" t="s">
        <v>3996</v>
      </c>
      <c r="C74" s="2" t="s">
        <v>3997</v>
      </c>
      <c r="D74" s="2" t="s">
        <v>3995</v>
      </c>
      <c r="E74" s="2" t="s">
        <v>54</v>
      </c>
      <c r="F74" s="3">
        <v>42662</v>
      </c>
      <c r="G74" s="2" t="str">
        <f>"9781503600423"</f>
        <v>9781503600423</v>
      </c>
      <c r="H74" s="2" t="s">
        <v>14</v>
      </c>
      <c r="I74" s="4">
        <v>43730.585416666669</v>
      </c>
      <c r="J74" s="2" t="s">
        <v>3998</v>
      </c>
    </row>
    <row r="75" spans="1:10" ht="135" x14ac:dyDescent="0.25">
      <c r="A75" s="2" t="s">
        <v>175</v>
      </c>
      <c r="B75" s="2">
        <v>330</v>
      </c>
      <c r="C75" s="2" t="s">
        <v>1968</v>
      </c>
      <c r="D75" s="2" t="s">
        <v>1967</v>
      </c>
      <c r="E75" s="2" t="s">
        <v>585</v>
      </c>
      <c r="F75" s="3">
        <v>40497</v>
      </c>
      <c r="G75" s="2" t="str">
        <f>"9780226556666"</f>
        <v>9780226556666</v>
      </c>
      <c r="H75" s="2" t="s">
        <v>14</v>
      </c>
      <c r="I75" s="4">
        <v>43919.765277777777</v>
      </c>
      <c r="J75" s="2" t="s">
        <v>1969</v>
      </c>
    </row>
    <row r="76" spans="1:10" ht="135" x14ac:dyDescent="0.25">
      <c r="A76" s="2" t="s">
        <v>175</v>
      </c>
      <c r="B76" s="2">
        <v>332.041</v>
      </c>
      <c r="C76" s="2" t="s">
        <v>6447</v>
      </c>
      <c r="D76" s="2" t="s">
        <v>6446</v>
      </c>
      <c r="E76" s="2" t="s">
        <v>54</v>
      </c>
      <c r="F76" s="3">
        <v>43123</v>
      </c>
      <c r="G76" s="2" t="str">
        <f>"9781503604445"</f>
        <v>9781503604445</v>
      </c>
      <c r="H76" s="2" t="s">
        <v>14</v>
      </c>
      <c r="I76" s="4">
        <v>43517.520138888889</v>
      </c>
      <c r="J76" s="2" t="s">
        <v>6448</v>
      </c>
    </row>
    <row r="77" spans="1:10" ht="135" x14ac:dyDescent="0.25">
      <c r="A77" s="2" t="s">
        <v>175</v>
      </c>
      <c r="B77" s="2">
        <v>330.12200000000001</v>
      </c>
      <c r="C77" s="2" t="s">
        <v>1592</v>
      </c>
      <c r="D77" s="2" t="s">
        <v>1591</v>
      </c>
      <c r="E77" s="2" t="s">
        <v>1578</v>
      </c>
      <c r="F77" s="3">
        <v>43304</v>
      </c>
      <c r="G77" s="2" t="str">
        <f>"9781509525263"</f>
        <v>9781509525263</v>
      </c>
      <c r="H77" s="2" t="s">
        <v>14</v>
      </c>
      <c r="I77" s="4">
        <v>43936.488888888889</v>
      </c>
      <c r="J77" s="2" t="s">
        <v>1593</v>
      </c>
    </row>
    <row r="78" spans="1:10" ht="135" x14ac:dyDescent="0.25">
      <c r="A78" s="2" t="s">
        <v>175</v>
      </c>
      <c r="B78" s="2" t="s">
        <v>6676</v>
      </c>
      <c r="C78" s="2" t="s">
        <v>6677</v>
      </c>
      <c r="D78" s="2" t="s">
        <v>6675</v>
      </c>
      <c r="E78" s="2" t="s">
        <v>755</v>
      </c>
      <c r="F78" s="3">
        <v>41340</v>
      </c>
      <c r="G78" s="2" t="str">
        <f>"9780821395417"</f>
        <v>9780821395417</v>
      </c>
      <c r="H78" s="2" t="s">
        <v>14</v>
      </c>
      <c r="I78" s="4">
        <v>43497.697222222225</v>
      </c>
      <c r="J78" s="2" t="s">
        <v>6678</v>
      </c>
    </row>
    <row r="79" spans="1:10" ht="135" x14ac:dyDescent="0.25">
      <c r="A79" s="2" t="s">
        <v>175</v>
      </c>
      <c r="B79" s="2" t="s">
        <v>7513</v>
      </c>
      <c r="C79" s="2" t="s">
        <v>13068</v>
      </c>
      <c r="D79" s="2" t="s">
        <v>13067</v>
      </c>
      <c r="E79" s="2" t="s">
        <v>705</v>
      </c>
      <c r="F79" s="3">
        <v>42248</v>
      </c>
      <c r="G79" s="2" t="str">
        <f>"9781400873517"</f>
        <v>9781400873517</v>
      </c>
      <c r="H79" s="2" t="s">
        <v>14</v>
      </c>
      <c r="I79" s="4">
        <v>42739.084027777775</v>
      </c>
      <c r="J79" s="2" t="s">
        <v>13069</v>
      </c>
    </row>
    <row r="80" spans="1:10" ht="135" x14ac:dyDescent="0.25">
      <c r="A80" s="2" t="s">
        <v>175</v>
      </c>
      <c r="B80" s="2" t="s">
        <v>4347</v>
      </c>
      <c r="C80" s="2" t="s">
        <v>4348</v>
      </c>
      <c r="D80" s="2" t="s">
        <v>4346</v>
      </c>
      <c r="E80" s="2" t="s">
        <v>73</v>
      </c>
      <c r="F80" s="3">
        <v>43536</v>
      </c>
      <c r="G80" s="2" t="str">
        <f>"9781452960319"</f>
        <v>9781452960319</v>
      </c>
      <c r="H80" s="2" t="s">
        <v>14</v>
      </c>
      <c r="I80" s="4">
        <v>43679.018055555556</v>
      </c>
      <c r="J80" s="2" t="s">
        <v>4349</v>
      </c>
    </row>
    <row r="81" spans="1:10" ht="150" x14ac:dyDescent="0.25">
      <c r="A81" s="2" t="s">
        <v>175</v>
      </c>
      <c r="B81" s="2">
        <v>338.96</v>
      </c>
      <c r="C81" s="2" t="s">
        <v>4493</v>
      </c>
      <c r="D81" s="2" t="s">
        <v>4492</v>
      </c>
      <c r="E81" s="2" t="s">
        <v>212</v>
      </c>
      <c r="F81" s="3">
        <v>42718</v>
      </c>
      <c r="G81" s="2" t="str">
        <f>"9789956764037"</f>
        <v>9789956764037</v>
      </c>
      <c r="H81" s="2" t="s">
        <v>14</v>
      </c>
      <c r="I81" s="4">
        <v>43660.810416666667</v>
      </c>
      <c r="J81" s="2" t="s">
        <v>4494</v>
      </c>
    </row>
    <row r="82" spans="1:10" ht="135" x14ac:dyDescent="0.25">
      <c r="A82" s="2" t="s">
        <v>175</v>
      </c>
      <c r="B82" s="2">
        <v>330.9051</v>
      </c>
      <c r="C82" s="2" t="s">
        <v>3157</v>
      </c>
      <c r="D82" s="2" t="s">
        <v>3156</v>
      </c>
      <c r="E82" s="2" t="s">
        <v>846</v>
      </c>
      <c r="F82" s="3">
        <v>42521</v>
      </c>
      <c r="G82" s="2" t="str">
        <f>"9781442620179"</f>
        <v>9781442620179</v>
      </c>
      <c r="H82" s="2" t="s">
        <v>14</v>
      </c>
      <c r="I82" s="4">
        <v>43803.404861111114</v>
      </c>
      <c r="J82" s="2" t="s">
        <v>3158</v>
      </c>
    </row>
    <row r="83" spans="1:10" ht="135" x14ac:dyDescent="0.25">
      <c r="A83" s="2" t="s">
        <v>175</v>
      </c>
      <c r="B83" s="2">
        <v>338.64209599999998</v>
      </c>
      <c r="C83" s="2" t="s">
        <v>6825</v>
      </c>
      <c r="D83" s="2" t="s">
        <v>6824</v>
      </c>
      <c r="E83" s="2" t="s">
        <v>69</v>
      </c>
      <c r="F83" s="3">
        <v>43136</v>
      </c>
      <c r="G83" s="2" t="str">
        <f>"9780253032621"</f>
        <v>9780253032621</v>
      </c>
      <c r="H83" s="2" t="s">
        <v>14</v>
      </c>
      <c r="I83" s="4">
        <v>43483.484027777777</v>
      </c>
      <c r="J83" s="2" t="s">
        <v>6826</v>
      </c>
    </row>
    <row r="84" spans="1:10" ht="135" x14ac:dyDescent="0.25">
      <c r="A84" s="2" t="s">
        <v>175</v>
      </c>
      <c r="B84" s="2">
        <v>332.45660939999999</v>
      </c>
      <c r="C84" s="2" t="s">
        <v>1787</v>
      </c>
      <c r="D84" s="2" t="s">
        <v>8066</v>
      </c>
      <c r="E84" s="2" t="s">
        <v>37</v>
      </c>
      <c r="F84" s="3">
        <v>42702</v>
      </c>
      <c r="G84" s="2" t="str">
        <f>"9783319457291"</f>
        <v>9783319457291</v>
      </c>
      <c r="H84" s="2" t="s">
        <v>14</v>
      </c>
      <c r="I84" s="4">
        <v>43358.395833333336</v>
      </c>
      <c r="J84" s="2" t="s">
        <v>8067</v>
      </c>
    </row>
    <row r="85" spans="1:10" ht="135" x14ac:dyDescent="0.25">
      <c r="A85" s="2" t="s">
        <v>175</v>
      </c>
      <c r="B85" s="2">
        <v>331.2</v>
      </c>
      <c r="C85" s="2" t="s">
        <v>12365</v>
      </c>
      <c r="D85" s="2" t="s">
        <v>12364</v>
      </c>
      <c r="E85" s="2" t="s">
        <v>89</v>
      </c>
      <c r="F85" s="3">
        <v>42064</v>
      </c>
      <c r="G85" s="2" t="str">
        <f>"9781782386162"</f>
        <v>9781782386162</v>
      </c>
      <c r="H85" s="2" t="s">
        <v>14</v>
      </c>
      <c r="I85" s="4">
        <v>42814.362500000003</v>
      </c>
      <c r="J85" s="2" t="s">
        <v>12366</v>
      </c>
    </row>
    <row r="86" spans="1:10" ht="165" x14ac:dyDescent="0.25">
      <c r="A86" s="2" t="s">
        <v>175</v>
      </c>
      <c r="B86" s="2">
        <v>331.11730979408998</v>
      </c>
      <c r="C86" s="2" t="s">
        <v>10790</v>
      </c>
      <c r="D86" s="2" t="s">
        <v>10789</v>
      </c>
      <c r="E86" s="2" t="s">
        <v>156</v>
      </c>
      <c r="F86" s="3">
        <v>41498</v>
      </c>
      <c r="G86" s="2" t="str">
        <f>"9781469612713"</f>
        <v>9781469612713</v>
      </c>
      <c r="H86" s="2" t="s">
        <v>14</v>
      </c>
      <c r="I86" s="4">
        <v>43036.688888888886</v>
      </c>
      <c r="J86" s="2" t="s">
        <v>10791</v>
      </c>
    </row>
    <row r="87" spans="1:10" ht="135" x14ac:dyDescent="0.25">
      <c r="A87" s="2" t="s">
        <v>175</v>
      </c>
      <c r="B87" s="2">
        <v>339.48641097299998</v>
      </c>
      <c r="C87" s="2" t="s">
        <v>8681</v>
      </c>
      <c r="D87" s="2" t="s">
        <v>8680</v>
      </c>
      <c r="E87" s="2" t="s">
        <v>73</v>
      </c>
      <c r="F87" s="3">
        <v>42473</v>
      </c>
      <c r="G87" s="2" t="str">
        <f>"9781452945408"</f>
        <v>9781452945408</v>
      </c>
      <c r="H87" s="2" t="s">
        <v>14</v>
      </c>
      <c r="I87" s="4">
        <v>43267.908333333333</v>
      </c>
      <c r="J87" s="2" t="s">
        <v>8682</v>
      </c>
    </row>
    <row r="88" spans="1:10" ht="135" x14ac:dyDescent="0.25">
      <c r="A88" s="2" t="s">
        <v>175</v>
      </c>
      <c r="B88" s="2">
        <v>330.95400000000001</v>
      </c>
      <c r="C88" s="2" t="s">
        <v>7031</v>
      </c>
      <c r="D88" s="2" t="s">
        <v>7030</v>
      </c>
      <c r="E88" s="2" t="s">
        <v>499</v>
      </c>
      <c r="F88" s="3">
        <v>41926</v>
      </c>
      <c r="G88" s="2" t="str">
        <f>"9781626161085"</f>
        <v>9781626161085</v>
      </c>
      <c r="H88" s="2" t="s">
        <v>14</v>
      </c>
      <c r="I88" s="4">
        <v>43458.845138888886</v>
      </c>
      <c r="J88" s="2" t="s">
        <v>7032</v>
      </c>
    </row>
    <row r="89" spans="1:10" ht="165" x14ac:dyDescent="0.25">
      <c r="A89" s="2" t="s">
        <v>175</v>
      </c>
      <c r="B89" s="2">
        <v>337.72899999999998</v>
      </c>
      <c r="C89" s="2" t="s">
        <v>976</v>
      </c>
      <c r="D89" s="2" t="s">
        <v>975</v>
      </c>
      <c r="E89" s="2" t="s">
        <v>260</v>
      </c>
      <c r="F89" s="3">
        <v>43658</v>
      </c>
      <c r="G89" s="2" t="str">
        <f>"9781439916568"</f>
        <v>9781439916568</v>
      </c>
      <c r="H89" s="2" t="s">
        <v>14</v>
      </c>
      <c r="I89" s="4">
        <v>43971.129861111112</v>
      </c>
      <c r="J89" s="2" t="s">
        <v>977</v>
      </c>
    </row>
    <row r="90" spans="1:10" ht="135" x14ac:dyDescent="0.25">
      <c r="A90" s="2" t="s">
        <v>175</v>
      </c>
      <c r="B90" s="2">
        <v>338.97300000000001</v>
      </c>
      <c r="C90" s="2" t="s">
        <v>6265</v>
      </c>
      <c r="D90" s="2" t="s">
        <v>6264</v>
      </c>
      <c r="E90" s="2" t="s">
        <v>499</v>
      </c>
      <c r="F90" s="3">
        <v>42736</v>
      </c>
      <c r="G90" s="2" t="str">
        <f>"9781626163713"</f>
        <v>9781626163713</v>
      </c>
      <c r="H90" s="2" t="s">
        <v>14</v>
      </c>
      <c r="I90" s="4">
        <v>43528.675000000003</v>
      </c>
      <c r="J90" s="2" t="s">
        <v>6266</v>
      </c>
    </row>
    <row r="91" spans="1:10" ht="135" x14ac:dyDescent="0.25">
      <c r="A91" s="2" t="s">
        <v>175</v>
      </c>
      <c r="B91" s="2">
        <v>338.95</v>
      </c>
      <c r="C91" s="2" t="s">
        <v>4429</v>
      </c>
      <c r="D91" s="2" t="s">
        <v>4428</v>
      </c>
      <c r="E91" s="2" t="s">
        <v>54</v>
      </c>
      <c r="F91" s="3">
        <v>41990</v>
      </c>
      <c r="G91" s="2" t="str">
        <f>"9780804793162"</f>
        <v>9780804793162</v>
      </c>
      <c r="H91" s="2" t="s">
        <v>14</v>
      </c>
      <c r="I91" s="4">
        <v>43670.416666666664</v>
      </c>
      <c r="J91" s="2" t="s">
        <v>4430</v>
      </c>
    </row>
    <row r="92" spans="1:10" ht="135" x14ac:dyDescent="0.25">
      <c r="A92" s="2" t="s">
        <v>175</v>
      </c>
      <c r="B92" s="2">
        <v>330.12200000000001</v>
      </c>
      <c r="C92" s="2" t="s">
        <v>11895</v>
      </c>
      <c r="D92" s="2" t="s">
        <v>11894</v>
      </c>
      <c r="E92" s="2" t="s">
        <v>665</v>
      </c>
      <c r="F92" s="3">
        <v>42175</v>
      </c>
      <c r="G92" s="2" t="str">
        <f>"9781783713233"</f>
        <v>9781783713233</v>
      </c>
      <c r="H92" s="2" t="s">
        <v>14</v>
      </c>
      <c r="I92" s="4">
        <v>42873.609027777777</v>
      </c>
      <c r="J92" s="2" t="s">
        <v>11896</v>
      </c>
    </row>
    <row r="93" spans="1:10" ht="135" x14ac:dyDescent="0.25">
      <c r="A93" s="2" t="s">
        <v>175</v>
      </c>
      <c r="B93" s="2">
        <v>330.01900000000001</v>
      </c>
      <c r="C93" s="2" t="s">
        <v>1787</v>
      </c>
      <c r="D93" s="2" t="s">
        <v>3594</v>
      </c>
      <c r="E93" s="2" t="s">
        <v>37</v>
      </c>
      <c r="F93" s="3">
        <v>42867</v>
      </c>
      <c r="G93" s="2" t="str">
        <f>"9783319558073"</f>
        <v>9783319558073</v>
      </c>
      <c r="H93" s="2" t="s">
        <v>14</v>
      </c>
      <c r="I93" s="4">
        <v>43772.862500000003</v>
      </c>
      <c r="J93" s="2" t="s">
        <v>3595</v>
      </c>
    </row>
    <row r="94" spans="1:10" ht="135" x14ac:dyDescent="0.25">
      <c r="A94" s="2" t="s">
        <v>175</v>
      </c>
      <c r="B94" s="2">
        <v>331.54408999219999</v>
      </c>
      <c r="C94" s="2" t="s">
        <v>5539</v>
      </c>
      <c r="D94" s="2" t="s">
        <v>5538</v>
      </c>
      <c r="E94" s="2" t="s">
        <v>69</v>
      </c>
      <c r="F94" s="3">
        <v>43322</v>
      </c>
      <c r="G94" s="2" t="str">
        <f>"9780253037053"</f>
        <v>9780253037053</v>
      </c>
      <c r="H94" s="2" t="s">
        <v>14</v>
      </c>
      <c r="I94" s="4">
        <v>43591.699305555558</v>
      </c>
      <c r="J94" s="2" t="s">
        <v>5540</v>
      </c>
    </row>
    <row r="95" spans="1:10" ht="135" x14ac:dyDescent="0.25">
      <c r="A95" s="2" t="s">
        <v>175</v>
      </c>
      <c r="B95" s="2">
        <v>339.22091721999999</v>
      </c>
      <c r="C95" s="2" t="s">
        <v>11993</v>
      </c>
      <c r="D95" s="2" t="s">
        <v>11992</v>
      </c>
      <c r="E95" s="2" t="s">
        <v>54</v>
      </c>
      <c r="F95" s="3">
        <v>41500</v>
      </c>
      <c r="G95" s="2" t="str">
        <f>"9780804786751"</f>
        <v>9780804786751</v>
      </c>
      <c r="H95" s="2" t="s">
        <v>14</v>
      </c>
      <c r="I95" s="4">
        <v>42863.870138888888</v>
      </c>
      <c r="J95" s="2" t="s">
        <v>11994</v>
      </c>
    </row>
    <row r="96" spans="1:10" ht="135" x14ac:dyDescent="0.25">
      <c r="A96" s="2" t="s">
        <v>175</v>
      </c>
      <c r="B96" s="2">
        <v>338.95400000000001</v>
      </c>
      <c r="C96" s="2" t="s">
        <v>7015</v>
      </c>
      <c r="D96" s="2" t="s">
        <v>7014</v>
      </c>
      <c r="E96" s="2" t="s">
        <v>268</v>
      </c>
      <c r="F96" s="3">
        <v>43368</v>
      </c>
      <c r="G96" s="2" t="str">
        <f>"9780815736622"</f>
        <v>9780815736622</v>
      </c>
      <c r="H96" s="2" t="s">
        <v>14</v>
      </c>
      <c r="I96" s="4">
        <v>43463.679861111108</v>
      </c>
      <c r="J96" s="2" t="s">
        <v>7016</v>
      </c>
    </row>
    <row r="97" spans="1:10" ht="135" x14ac:dyDescent="0.25">
      <c r="A97" s="2" t="s">
        <v>175</v>
      </c>
      <c r="B97" s="2">
        <v>338.91</v>
      </c>
      <c r="C97" s="2" t="s">
        <v>2434</v>
      </c>
      <c r="D97" s="2" t="s">
        <v>2433</v>
      </c>
      <c r="E97" s="2" t="s">
        <v>288</v>
      </c>
      <c r="F97" s="3">
        <v>43697</v>
      </c>
      <c r="G97" s="2" t="str">
        <f>"9780776623207"</f>
        <v>9780776623207</v>
      </c>
      <c r="H97" s="2" t="s">
        <v>14</v>
      </c>
      <c r="I97" s="4">
        <v>43885.625</v>
      </c>
      <c r="J97" s="2" t="s">
        <v>2435</v>
      </c>
    </row>
    <row r="98" spans="1:10" ht="135" x14ac:dyDescent="0.25">
      <c r="A98" s="2" t="s">
        <v>175</v>
      </c>
      <c r="B98" s="2">
        <v>331.54209539999999</v>
      </c>
      <c r="C98" s="2" t="s">
        <v>10860</v>
      </c>
      <c r="D98" s="2" t="s">
        <v>10859</v>
      </c>
      <c r="E98" s="2" t="s">
        <v>73</v>
      </c>
      <c r="F98" s="3">
        <v>42005</v>
      </c>
      <c r="G98" s="2" t="str">
        <f>"9781452943527"</f>
        <v>9781452943527</v>
      </c>
      <c r="H98" s="2" t="s">
        <v>14</v>
      </c>
      <c r="I98" s="4">
        <v>43031.574305555558</v>
      </c>
      <c r="J98" s="2" t="s">
        <v>10861</v>
      </c>
    </row>
    <row r="99" spans="1:10" ht="135" x14ac:dyDescent="0.25">
      <c r="A99" s="2" t="s">
        <v>175</v>
      </c>
      <c r="B99" s="2" t="s">
        <v>176</v>
      </c>
      <c r="C99" s="2" t="s">
        <v>177</v>
      </c>
      <c r="D99" s="2" t="s">
        <v>174</v>
      </c>
      <c r="E99" s="2" t="s">
        <v>54</v>
      </c>
      <c r="F99" s="3">
        <v>43081</v>
      </c>
      <c r="G99" s="2" t="str">
        <f>"9781503604452"</f>
        <v>9781503604452</v>
      </c>
      <c r="H99" s="2" t="s">
        <v>14</v>
      </c>
      <c r="I99" s="4">
        <v>44065.086805555555</v>
      </c>
      <c r="J99" s="2" t="s">
        <v>178</v>
      </c>
    </row>
    <row r="100" spans="1:10" ht="135" x14ac:dyDescent="0.25">
      <c r="A100" s="2" t="s">
        <v>175</v>
      </c>
      <c r="B100" s="2">
        <v>338.9</v>
      </c>
      <c r="C100" s="2" t="s">
        <v>12038</v>
      </c>
      <c r="D100" s="2" t="s">
        <v>12037</v>
      </c>
      <c r="E100" s="2" t="s">
        <v>73</v>
      </c>
      <c r="F100" s="3">
        <v>42095</v>
      </c>
      <c r="G100" s="2" t="str">
        <f>"9781452944180"</f>
        <v>9781452944180</v>
      </c>
      <c r="H100" s="2" t="s">
        <v>14</v>
      </c>
      <c r="I100" s="4">
        <v>42859.824999999997</v>
      </c>
      <c r="J100" s="2" t="s">
        <v>12039</v>
      </c>
    </row>
    <row r="101" spans="1:10" ht="135" x14ac:dyDescent="0.25">
      <c r="A101" s="2" t="s">
        <v>175</v>
      </c>
      <c r="B101" s="2">
        <v>338.9</v>
      </c>
      <c r="C101" s="2" t="s">
        <v>3361</v>
      </c>
      <c r="D101" s="2" t="s">
        <v>3360</v>
      </c>
      <c r="E101" s="2" t="s">
        <v>268</v>
      </c>
      <c r="F101" s="3">
        <v>42374</v>
      </c>
      <c r="G101" s="2" t="str">
        <f>"9780815727170"</f>
        <v>9780815727170</v>
      </c>
      <c r="H101" s="2" t="s">
        <v>14</v>
      </c>
      <c r="I101" s="4">
        <v>43788.34652777778</v>
      </c>
      <c r="J101" s="2" t="s">
        <v>3362</v>
      </c>
    </row>
    <row r="102" spans="1:10" ht="135" x14ac:dyDescent="0.25">
      <c r="A102" s="2" t="s">
        <v>175</v>
      </c>
      <c r="B102" s="2" t="s">
        <v>5976</v>
      </c>
      <c r="C102" s="2" t="s">
        <v>5977</v>
      </c>
      <c r="D102" s="2" t="s">
        <v>5975</v>
      </c>
      <c r="E102" s="2" t="s">
        <v>578</v>
      </c>
      <c r="F102" s="3">
        <v>42457</v>
      </c>
      <c r="G102" s="2" t="str">
        <f>"9780252098253"</f>
        <v>9780252098253</v>
      </c>
      <c r="H102" s="2" t="s">
        <v>14</v>
      </c>
      <c r="I102" s="4">
        <v>43552.499305555553</v>
      </c>
      <c r="J102" s="2" t="s">
        <v>5978</v>
      </c>
    </row>
    <row r="103" spans="1:10" ht="135" x14ac:dyDescent="0.25">
      <c r="A103" s="2" t="s">
        <v>175</v>
      </c>
      <c r="B103" s="2">
        <v>330.97503</v>
      </c>
      <c r="C103" s="2" t="s">
        <v>9384</v>
      </c>
      <c r="D103" s="2" t="s">
        <v>9383</v>
      </c>
      <c r="E103" s="2" t="s">
        <v>156</v>
      </c>
      <c r="F103" s="3">
        <v>41699</v>
      </c>
      <c r="G103" s="2" t="str">
        <f>"9781469603278"</f>
        <v>9781469603278</v>
      </c>
      <c r="H103" s="2" t="s">
        <v>14</v>
      </c>
      <c r="I103" s="4">
        <v>43175.520138888889</v>
      </c>
      <c r="J103" s="2" t="s">
        <v>9385</v>
      </c>
    </row>
    <row r="104" spans="1:10" ht="135" x14ac:dyDescent="0.25">
      <c r="A104" s="2" t="s">
        <v>175</v>
      </c>
      <c r="B104" s="2">
        <v>338.1</v>
      </c>
      <c r="C104" s="2" t="s">
        <v>3460</v>
      </c>
      <c r="D104" s="2" t="s">
        <v>3459</v>
      </c>
      <c r="E104" s="2" t="s">
        <v>130</v>
      </c>
      <c r="F104" s="3">
        <v>42870</v>
      </c>
      <c r="G104" s="2" t="str">
        <f>"9780813052670"</f>
        <v>9780813052670</v>
      </c>
      <c r="H104" s="2" t="s">
        <v>14</v>
      </c>
      <c r="I104" s="4">
        <v>43780.981249999997</v>
      </c>
      <c r="J104" s="2" t="s">
        <v>3461</v>
      </c>
    </row>
    <row r="105" spans="1:10" ht="135" x14ac:dyDescent="0.25">
      <c r="A105" s="2" t="s">
        <v>175</v>
      </c>
      <c r="B105" s="2">
        <v>332.4</v>
      </c>
      <c r="C105" s="2" t="s">
        <v>5706</v>
      </c>
      <c r="D105" s="2" t="s">
        <v>5705</v>
      </c>
      <c r="E105" s="2" t="s">
        <v>705</v>
      </c>
      <c r="F105" s="3">
        <v>42850</v>
      </c>
      <c r="G105" s="2" t="str">
        <f>"9781400885268"</f>
        <v>9781400885268</v>
      </c>
      <c r="H105" s="2" t="s">
        <v>14</v>
      </c>
      <c r="I105" s="4">
        <v>43579.609722222223</v>
      </c>
      <c r="J105" s="2" t="s">
        <v>5707</v>
      </c>
    </row>
    <row r="106" spans="1:10" ht="135" x14ac:dyDescent="0.25">
      <c r="A106" s="2" t="s">
        <v>175</v>
      </c>
      <c r="B106" s="2" t="s">
        <v>10223</v>
      </c>
      <c r="C106" s="2" t="s">
        <v>10224</v>
      </c>
      <c r="D106" s="2" t="s">
        <v>10222</v>
      </c>
      <c r="E106" s="2" t="s">
        <v>89</v>
      </c>
      <c r="F106" s="3">
        <v>41944</v>
      </c>
      <c r="G106" s="2" t="str">
        <f>"9781782385400"</f>
        <v>9781782385400</v>
      </c>
      <c r="H106" s="2" t="s">
        <v>14</v>
      </c>
      <c r="I106" s="4">
        <v>43081.522916666669</v>
      </c>
      <c r="J106" s="2" t="s">
        <v>10225</v>
      </c>
    </row>
    <row r="107" spans="1:10" ht="135" x14ac:dyDescent="0.25">
      <c r="A107" s="2" t="s">
        <v>175</v>
      </c>
      <c r="B107" s="2">
        <v>338.95100000000002</v>
      </c>
      <c r="C107" s="2" t="s">
        <v>8043</v>
      </c>
      <c r="D107" s="2" t="s">
        <v>8042</v>
      </c>
      <c r="E107" s="2" t="s">
        <v>578</v>
      </c>
      <c r="F107" s="3">
        <v>42746</v>
      </c>
      <c r="G107" s="2" t="str">
        <f>"9780252099434"</f>
        <v>9780252099434</v>
      </c>
      <c r="H107" s="2" t="s">
        <v>14</v>
      </c>
      <c r="I107" s="4">
        <v>43361.55</v>
      </c>
      <c r="J107" s="2" t="s">
        <v>8044</v>
      </c>
    </row>
    <row r="108" spans="1:10" ht="270" x14ac:dyDescent="0.25">
      <c r="A108" s="2" t="s">
        <v>175</v>
      </c>
      <c r="B108" s="2" t="s">
        <v>9954</v>
      </c>
      <c r="C108" s="2" t="s">
        <v>9955</v>
      </c>
      <c r="D108" s="2" t="s">
        <v>9953</v>
      </c>
      <c r="E108" s="2" t="s">
        <v>80</v>
      </c>
      <c r="F108" s="3">
        <v>42272</v>
      </c>
      <c r="G108" s="2" t="str">
        <f>"9783653058451"</f>
        <v>9783653058451</v>
      </c>
      <c r="H108" s="2" t="s">
        <v>14</v>
      </c>
      <c r="I108" s="4">
        <v>43116.988194444442</v>
      </c>
      <c r="J108" s="2" t="s">
        <v>9956</v>
      </c>
    </row>
    <row r="109" spans="1:10" ht="150" x14ac:dyDescent="0.25">
      <c r="A109" s="2" t="s">
        <v>175</v>
      </c>
      <c r="B109" s="2">
        <v>338.47679730951</v>
      </c>
      <c r="C109" s="2" t="s">
        <v>5415</v>
      </c>
      <c r="D109" s="2" t="s">
        <v>5414</v>
      </c>
      <c r="E109" s="2" t="s">
        <v>54</v>
      </c>
      <c r="F109" s="3">
        <v>43214</v>
      </c>
      <c r="G109" s="2" t="str">
        <f>"9781503604568"</f>
        <v>9781503604568</v>
      </c>
      <c r="H109" s="2" t="s">
        <v>14</v>
      </c>
      <c r="I109" s="4">
        <v>43599.916666666664</v>
      </c>
      <c r="J109" s="2" t="s">
        <v>5416</v>
      </c>
    </row>
    <row r="110" spans="1:10" ht="135" x14ac:dyDescent="0.25">
      <c r="A110" s="2" t="s">
        <v>175</v>
      </c>
      <c r="B110" s="2">
        <v>339.46096</v>
      </c>
      <c r="C110" s="2" t="s">
        <v>8814</v>
      </c>
      <c r="D110" s="2" t="s">
        <v>8813</v>
      </c>
      <c r="E110" s="2" t="s">
        <v>755</v>
      </c>
      <c r="F110" s="3">
        <v>42439</v>
      </c>
      <c r="G110" s="2" t="str">
        <f>"9781464807244"</f>
        <v>9781464807244</v>
      </c>
      <c r="H110" s="2" t="s">
        <v>14</v>
      </c>
      <c r="I110" s="4">
        <v>43250.615972222222</v>
      </c>
      <c r="J110" s="2" t="s">
        <v>8815</v>
      </c>
    </row>
    <row r="111" spans="1:10" ht="195" x14ac:dyDescent="0.25">
      <c r="A111" s="2" t="s">
        <v>175</v>
      </c>
      <c r="B111" s="2" t="s">
        <v>5380</v>
      </c>
      <c r="C111" s="2" t="s">
        <v>5381</v>
      </c>
      <c r="D111" s="2" t="s">
        <v>5379</v>
      </c>
      <c r="E111" s="2" t="s">
        <v>216</v>
      </c>
      <c r="F111" s="3">
        <v>43570</v>
      </c>
      <c r="G111" s="2" t="str">
        <f>"9781438473444"</f>
        <v>9781438473444</v>
      </c>
      <c r="H111" s="2" t="s">
        <v>14</v>
      </c>
      <c r="I111" s="4">
        <v>43602.783333333333</v>
      </c>
      <c r="J111" s="2" t="s">
        <v>5382</v>
      </c>
    </row>
    <row r="112" spans="1:10" ht="135" x14ac:dyDescent="0.25">
      <c r="A112" s="2" t="s">
        <v>175</v>
      </c>
      <c r="B112" s="2" t="s">
        <v>9277</v>
      </c>
      <c r="C112" s="2" t="s">
        <v>9278</v>
      </c>
      <c r="D112" s="2" t="s">
        <v>9276</v>
      </c>
      <c r="E112" s="2" t="s">
        <v>526</v>
      </c>
      <c r="F112" s="3">
        <v>42186</v>
      </c>
      <c r="G112" s="2" t="str">
        <f>"9780292772045"</f>
        <v>9780292772045</v>
      </c>
      <c r="H112" s="2" t="s">
        <v>14</v>
      </c>
      <c r="I112" s="4">
        <v>43191.8125</v>
      </c>
      <c r="J112" s="2" t="s">
        <v>9279</v>
      </c>
    </row>
    <row r="113" spans="1:10" ht="135" x14ac:dyDescent="0.25">
      <c r="A113" s="2" t="s">
        <v>175</v>
      </c>
      <c r="B113" s="2" t="s">
        <v>1155</v>
      </c>
      <c r="C113" s="2" t="s">
        <v>1156</v>
      </c>
      <c r="D113" s="2" t="s">
        <v>1154</v>
      </c>
      <c r="E113" s="2" t="s">
        <v>28</v>
      </c>
      <c r="F113" s="3">
        <v>42404</v>
      </c>
      <c r="G113" s="2" t="str">
        <f>"9780813937816"</f>
        <v>9780813937816</v>
      </c>
      <c r="H113" s="2" t="s">
        <v>14</v>
      </c>
      <c r="I113" s="4">
        <v>43959.429861111108</v>
      </c>
      <c r="J113" s="2" t="s">
        <v>1157</v>
      </c>
    </row>
    <row r="114" spans="1:10" ht="135" x14ac:dyDescent="0.25">
      <c r="A114" s="2" t="s">
        <v>175</v>
      </c>
      <c r="B114" s="2">
        <v>331.09750000000003</v>
      </c>
      <c r="C114" s="2" t="s">
        <v>6929</v>
      </c>
      <c r="D114" s="2" t="s">
        <v>6928</v>
      </c>
      <c r="E114" s="2" t="s">
        <v>130</v>
      </c>
      <c r="F114" s="3">
        <v>43291</v>
      </c>
      <c r="G114" s="2" t="str">
        <f>"9780813052335"</f>
        <v>9780813052335</v>
      </c>
      <c r="H114" s="2" t="s">
        <v>14</v>
      </c>
      <c r="I114" s="4">
        <v>43475.020138888889</v>
      </c>
      <c r="J114" s="2" t="s">
        <v>6930</v>
      </c>
    </row>
    <row r="115" spans="1:10" ht="135" x14ac:dyDescent="0.25">
      <c r="A115" s="2" t="s">
        <v>175</v>
      </c>
      <c r="B115" s="2">
        <v>330.15420920000003</v>
      </c>
      <c r="C115" s="2" t="s">
        <v>2664</v>
      </c>
      <c r="D115" s="2" t="s">
        <v>2663</v>
      </c>
      <c r="E115" s="2" t="s">
        <v>627</v>
      </c>
      <c r="F115" s="3">
        <v>43664</v>
      </c>
      <c r="G115" s="2" t="str">
        <f>"9789633862889"</f>
        <v>9789633862889</v>
      </c>
      <c r="H115" s="2" t="s">
        <v>14</v>
      </c>
      <c r="I115" s="4">
        <v>43867.382638888892</v>
      </c>
      <c r="J115" s="2" t="s">
        <v>2665</v>
      </c>
    </row>
    <row r="116" spans="1:10" ht="180" x14ac:dyDescent="0.25">
      <c r="A116" s="2" t="s">
        <v>175</v>
      </c>
      <c r="B116" s="2" t="s">
        <v>7651</v>
      </c>
      <c r="C116" s="2" t="s">
        <v>7652</v>
      </c>
      <c r="D116" s="2" t="s">
        <v>7650</v>
      </c>
      <c r="E116" s="2" t="s">
        <v>578</v>
      </c>
      <c r="F116" s="3">
        <v>42467</v>
      </c>
      <c r="G116" s="2" t="str">
        <f>"9780252098420"</f>
        <v>9780252098420</v>
      </c>
      <c r="H116" s="2" t="s">
        <v>14</v>
      </c>
      <c r="I116" s="4">
        <v>43402.427083333336</v>
      </c>
      <c r="J116" s="2" t="s">
        <v>7653</v>
      </c>
    </row>
    <row r="117" spans="1:10" ht="165" x14ac:dyDescent="0.25">
      <c r="A117" s="2" t="s">
        <v>175</v>
      </c>
      <c r="B117" s="2">
        <v>331.892</v>
      </c>
      <c r="C117" s="2" t="s">
        <v>11327</v>
      </c>
      <c r="D117" s="2" t="s">
        <v>11326</v>
      </c>
      <c r="E117" s="2" t="s">
        <v>10435</v>
      </c>
      <c r="F117" s="3">
        <v>41642</v>
      </c>
      <c r="G117" s="2" t="str">
        <f>"9781583674369"</f>
        <v>9781583674369</v>
      </c>
      <c r="H117" s="2" t="s">
        <v>14</v>
      </c>
      <c r="I117" s="4">
        <v>42988.743055555555</v>
      </c>
      <c r="J117" s="2" t="s">
        <v>11328</v>
      </c>
    </row>
    <row r="118" spans="1:10" ht="135" x14ac:dyDescent="0.25">
      <c r="A118" s="2" t="s">
        <v>175</v>
      </c>
      <c r="B118" s="2">
        <v>330.97269999999997</v>
      </c>
      <c r="C118" s="2" t="s">
        <v>7149</v>
      </c>
      <c r="D118" s="2" t="s">
        <v>7148</v>
      </c>
      <c r="E118" s="2" t="s">
        <v>322</v>
      </c>
      <c r="F118" s="3">
        <v>43084</v>
      </c>
      <c r="G118" s="2" t="str">
        <f>"9780820351759"</f>
        <v>9780820351759</v>
      </c>
      <c r="H118" s="2" t="s">
        <v>14</v>
      </c>
      <c r="I118" s="4">
        <v>43440.4375</v>
      </c>
      <c r="J118" s="2" t="s">
        <v>7150</v>
      </c>
    </row>
    <row r="119" spans="1:10" ht="135" x14ac:dyDescent="0.25">
      <c r="A119" s="2" t="s">
        <v>175</v>
      </c>
      <c r="B119" s="2">
        <v>330.01519500000001</v>
      </c>
      <c r="C119" s="2" t="s">
        <v>1787</v>
      </c>
      <c r="D119" s="2" t="s">
        <v>9922</v>
      </c>
      <c r="E119" s="2" t="s">
        <v>295</v>
      </c>
      <c r="F119" s="3">
        <v>41558</v>
      </c>
      <c r="G119" s="2" t="str">
        <f>"9783642403408"</f>
        <v>9783642403408</v>
      </c>
      <c r="H119" s="2" t="s">
        <v>14</v>
      </c>
      <c r="I119" s="4">
        <v>43119.806944444441</v>
      </c>
      <c r="J119" s="2" t="s">
        <v>9923</v>
      </c>
    </row>
    <row r="120" spans="1:10" ht="135" x14ac:dyDescent="0.25">
      <c r="A120" s="2" t="s">
        <v>175</v>
      </c>
      <c r="B120" s="2">
        <v>339.46</v>
      </c>
      <c r="C120" s="2" t="s">
        <v>12816</v>
      </c>
      <c r="D120" s="2" t="s">
        <v>12815</v>
      </c>
      <c r="E120" s="2" t="s">
        <v>322</v>
      </c>
      <c r="F120" s="3">
        <v>42338</v>
      </c>
      <c r="G120" s="2" t="str">
        <f>"9780820348445"</f>
        <v>9780820348445</v>
      </c>
      <c r="H120" s="2" t="s">
        <v>14</v>
      </c>
      <c r="I120" s="4">
        <v>42772.347222222219</v>
      </c>
      <c r="J120" s="2" t="s">
        <v>12817</v>
      </c>
    </row>
    <row r="121" spans="1:10" ht="135" x14ac:dyDescent="0.25">
      <c r="A121" s="2" t="s">
        <v>175</v>
      </c>
      <c r="B121" s="2">
        <v>338.4</v>
      </c>
      <c r="C121" s="2" t="s">
        <v>2165</v>
      </c>
      <c r="D121" s="2" t="s">
        <v>2164</v>
      </c>
      <c r="E121" s="2" t="s">
        <v>156</v>
      </c>
      <c r="F121" s="3">
        <v>41854</v>
      </c>
      <c r="G121" s="2" t="str">
        <f>"9781469612911"</f>
        <v>9781469612911</v>
      </c>
      <c r="H121" s="2" t="s">
        <v>14</v>
      </c>
      <c r="I121" s="4">
        <v>43907.708333333336</v>
      </c>
      <c r="J121" s="2" t="s">
        <v>2166</v>
      </c>
    </row>
    <row r="122" spans="1:10" ht="150" x14ac:dyDescent="0.25">
      <c r="A122" s="2" t="s">
        <v>175</v>
      </c>
      <c r="D122" s="2" t="s">
        <v>351</v>
      </c>
      <c r="E122" s="2" t="s">
        <v>54</v>
      </c>
      <c r="F122" s="3">
        <v>43998</v>
      </c>
      <c r="G122" s="2" t="str">
        <f>"9781503612365"</f>
        <v>9781503612365</v>
      </c>
      <c r="H122" s="2" t="s">
        <v>14</v>
      </c>
      <c r="I122" s="4">
        <v>44036.560416666667</v>
      </c>
      <c r="J122" s="2" t="s">
        <v>352</v>
      </c>
    </row>
    <row r="123" spans="1:10" ht="135" x14ac:dyDescent="0.25">
      <c r="A123" s="2" t="s">
        <v>175</v>
      </c>
      <c r="B123" s="2">
        <v>331.62510975090299</v>
      </c>
      <c r="C123" s="2" t="s">
        <v>5040</v>
      </c>
      <c r="D123" s="2" t="s">
        <v>5039</v>
      </c>
      <c r="E123" s="2" t="s">
        <v>54</v>
      </c>
      <c r="F123" s="3">
        <v>43585</v>
      </c>
      <c r="G123" s="2" t="str">
        <f>"9781503609259"</f>
        <v>9781503609259</v>
      </c>
      <c r="H123" s="2" t="s">
        <v>14</v>
      </c>
      <c r="I123" s="4">
        <v>43611.720138888886</v>
      </c>
      <c r="J123" s="2" t="s">
        <v>5041</v>
      </c>
    </row>
    <row r="124" spans="1:10" ht="135" x14ac:dyDescent="0.25">
      <c r="A124" s="2" t="s">
        <v>175</v>
      </c>
      <c r="B124" s="2">
        <v>330.9730927</v>
      </c>
      <c r="C124" s="2" t="s">
        <v>9348</v>
      </c>
      <c r="D124" s="2" t="s">
        <v>9347</v>
      </c>
      <c r="E124" s="2" t="s">
        <v>328</v>
      </c>
      <c r="F124" s="3">
        <v>41410</v>
      </c>
      <c r="G124" s="2" t="str">
        <f>"9780739182222"</f>
        <v>9780739182222</v>
      </c>
      <c r="H124" s="2" t="s">
        <v>14</v>
      </c>
      <c r="I124" s="4">
        <v>43180.438194444447</v>
      </c>
      <c r="J124" s="2" t="s">
        <v>9349</v>
      </c>
    </row>
    <row r="125" spans="1:10" ht="135" x14ac:dyDescent="0.25">
      <c r="A125" s="2" t="s">
        <v>175</v>
      </c>
      <c r="B125" s="2">
        <v>331.1</v>
      </c>
      <c r="C125" s="2" t="s">
        <v>7571</v>
      </c>
      <c r="D125" s="2" t="s">
        <v>7570</v>
      </c>
      <c r="E125" s="2" t="s">
        <v>268</v>
      </c>
      <c r="F125" s="3">
        <v>43235</v>
      </c>
      <c r="G125" s="2" t="str">
        <f>"9780815732945"</f>
        <v>9780815732945</v>
      </c>
      <c r="H125" s="2" t="s">
        <v>14</v>
      </c>
      <c r="I125" s="4">
        <v>43408.671527777777</v>
      </c>
      <c r="J125" s="2" t="s">
        <v>7572</v>
      </c>
    </row>
    <row r="126" spans="1:10" ht="135" x14ac:dyDescent="0.25">
      <c r="A126" s="2" t="s">
        <v>175</v>
      </c>
      <c r="B126" s="2">
        <v>339.2</v>
      </c>
      <c r="D126" s="2" t="s">
        <v>3993</v>
      </c>
      <c r="E126" s="2" t="s">
        <v>846</v>
      </c>
      <c r="F126" s="3">
        <v>42263</v>
      </c>
      <c r="G126" s="2" t="str">
        <f>"9781442624948"</f>
        <v>9781442624948</v>
      </c>
      <c r="H126" s="2" t="s">
        <v>14</v>
      </c>
      <c r="I126" s="4">
        <v>43730.631249999999</v>
      </c>
      <c r="J126" s="2" t="s">
        <v>3994</v>
      </c>
    </row>
    <row r="127" spans="1:10" ht="135" x14ac:dyDescent="0.25">
      <c r="A127" s="2" t="s">
        <v>175</v>
      </c>
      <c r="B127" s="2">
        <v>330.12209730000001</v>
      </c>
      <c r="C127" s="2" t="s">
        <v>11220</v>
      </c>
      <c r="D127" s="2" t="s">
        <v>11219</v>
      </c>
      <c r="E127" s="2" t="s">
        <v>54</v>
      </c>
      <c r="F127" s="3">
        <v>42962</v>
      </c>
      <c r="G127" s="2" t="str">
        <f>"9781503603158"</f>
        <v>9781503603158</v>
      </c>
      <c r="H127" s="2" t="s">
        <v>14</v>
      </c>
      <c r="I127" s="4">
        <v>43006.238888888889</v>
      </c>
      <c r="J127" s="2" t="s">
        <v>11221</v>
      </c>
    </row>
    <row r="128" spans="1:10" ht="150" x14ac:dyDescent="0.25">
      <c r="A128" s="2" t="s">
        <v>175</v>
      </c>
      <c r="B128" s="2" t="s">
        <v>12346</v>
      </c>
      <c r="C128" s="2" t="s">
        <v>12347</v>
      </c>
      <c r="D128" s="2" t="s">
        <v>12345</v>
      </c>
      <c r="E128" s="2" t="s">
        <v>156</v>
      </c>
      <c r="F128" s="3">
        <v>42706</v>
      </c>
      <c r="G128" s="2" t="str">
        <f>"9781469630199"</f>
        <v>9781469630199</v>
      </c>
      <c r="H128" s="2" t="s">
        <v>14</v>
      </c>
      <c r="I128" s="4">
        <v>42814.73541666667</v>
      </c>
      <c r="J128" s="2" t="s">
        <v>12348</v>
      </c>
    </row>
    <row r="129" spans="1:10" ht="150" x14ac:dyDescent="0.25">
      <c r="A129" s="2" t="s">
        <v>175</v>
      </c>
      <c r="B129" s="2">
        <v>338.96</v>
      </c>
      <c r="C129" s="2" t="s">
        <v>6086</v>
      </c>
      <c r="D129" s="2" t="s">
        <v>6085</v>
      </c>
      <c r="E129" s="2" t="s">
        <v>212</v>
      </c>
      <c r="F129" s="3">
        <v>43086</v>
      </c>
      <c r="G129" s="2" t="str">
        <f>"9789956764761"</f>
        <v>9789956764761</v>
      </c>
      <c r="H129" s="2" t="s">
        <v>14</v>
      </c>
      <c r="I129" s="4">
        <v>43542.71875</v>
      </c>
      <c r="J129" s="2" t="s">
        <v>6087</v>
      </c>
    </row>
    <row r="130" spans="1:10" ht="135" x14ac:dyDescent="0.25">
      <c r="A130" s="2" t="s">
        <v>175</v>
      </c>
      <c r="B130" s="2" t="s">
        <v>1977</v>
      </c>
      <c r="C130" s="2" t="s">
        <v>1978</v>
      </c>
      <c r="D130" s="2" t="s">
        <v>1976</v>
      </c>
      <c r="E130" s="2" t="s">
        <v>1698</v>
      </c>
      <c r="F130" s="3">
        <v>43655</v>
      </c>
      <c r="G130" s="2" t="str">
        <f>"9780674240100"</f>
        <v>9780674240100</v>
      </c>
      <c r="H130" s="2" t="s">
        <v>14</v>
      </c>
      <c r="I130" s="4">
        <v>43919.57916666667</v>
      </c>
      <c r="J130" s="2" t="s">
        <v>1979</v>
      </c>
    </row>
    <row r="131" spans="1:10" ht="135" x14ac:dyDescent="0.25">
      <c r="A131" s="2" t="s">
        <v>175</v>
      </c>
      <c r="B131" s="2" t="s">
        <v>2348</v>
      </c>
      <c r="C131" s="2" t="s">
        <v>2349</v>
      </c>
      <c r="D131" s="2" t="s">
        <v>2346</v>
      </c>
      <c r="E131" s="2" t="s">
        <v>2347</v>
      </c>
      <c r="F131" s="3">
        <v>41791</v>
      </c>
      <c r="G131" s="2" t="str">
        <f>"9780880994583"</f>
        <v>9780880994583</v>
      </c>
      <c r="H131" s="2" t="s">
        <v>14</v>
      </c>
      <c r="I131" s="4">
        <v>43892.35</v>
      </c>
      <c r="J131" s="2" t="s">
        <v>2350</v>
      </c>
    </row>
    <row r="132" spans="1:10" ht="135" x14ac:dyDescent="0.25">
      <c r="A132" s="2" t="s">
        <v>175</v>
      </c>
      <c r="B132" s="2">
        <v>338.04092400000002</v>
      </c>
      <c r="C132" s="2" t="s">
        <v>8547</v>
      </c>
      <c r="D132" s="2" t="s">
        <v>8546</v>
      </c>
      <c r="E132" s="2" t="s">
        <v>221</v>
      </c>
      <c r="F132" s="3">
        <v>41730</v>
      </c>
      <c r="G132" s="2" t="str">
        <f>"9789882208728"</f>
        <v>9789882208728</v>
      </c>
      <c r="H132" s="2" t="s">
        <v>14</v>
      </c>
      <c r="I132" s="4">
        <v>43289.463888888888</v>
      </c>
      <c r="J132" s="2" t="s">
        <v>8548</v>
      </c>
    </row>
    <row r="133" spans="1:10" ht="135" x14ac:dyDescent="0.25">
      <c r="A133" s="2" t="s">
        <v>5218</v>
      </c>
      <c r="B133" s="2">
        <v>338.37270940000002</v>
      </c>
      <c r="C133" s="2" t="s">
        <v>5219</v>
      </c>
      <c r="D133" s="2" t="s">
        <v>5217</v>
      </c>
      <c r="E133" s="2" t="s">
        <v>50</v>
      </c>
      <c r="F133" s="3">
        <v>42461</v>
      </c>
      <c r="G133" s="2" t="str">
        <f>"9780803285866"</f>
        <v>9780803285866</v>
      </c>
      <c r="H133" s="2" t="s">
        <v>14</v>
      </c>
      <c r="I133" s="4">
        <v>43607.772916666669</v>
      </c>
      <c r="J133" s="2" t="s">
        <v>5220</v>
      </c>
    </row>
    <row r="134" spans="1:10" ht="135" x14ac:dyDescent="0.25">
      <c r="A134" s="2" t="s">
        <v>8628</v>
      </c>
      <c r="B134" s="2" t="s">
        <v>8909</v>
      </c>
      <c r="C134" s="2" t="s">
        <v>8910</v>
      </c>
      <c r="D134" s="2" t="s">
        <v>8908</v>
      </c>
      <c r="E134" s="2" t="s">
        <v>216</v>
      </c>
      <c r="F134" s="3">
        <v>41153</v>
      </c>
      <c r="G134" s="2" t="str">
        <f>"9781438442969"</f>
        <v>9781438442969</v>
      </c>
      <c r="H134" s="2" t="s">
        <v>14</v>
      </c>
      <c r="I134" s="4">
        <v>43240.634027777778</v>
      </c>
      <c r="J134" s="2" t="s">
        <v>8911</v>
      </c>
    </row>
    <row r="135" spans="1:10" ht="135" x14ac:dyDescent="0.25">
      <c r="A135" s="2" t="s">
        <v>8628</v>
      </c>
      <c r="B135" s="2">
        <v>333.72</v>
      </c>
      <c r="C135" s="2" t="s">
        <v>8629</v>
      </c>
      <c r="D135" s="2" t="s">
        <v>8627</v>
      </c>
      <c r="E135" s="2" t="s">
        <v>80</v>
      </c>
      <c r="F135" s="3">
        <v>42055</v>
      </c>
      <c r="G135" s="2" t="str">
        <f>"9783653048490"</f>
        <v>9783653048490</v>
      </c>
      <c r="H135" s="2" t="s">
        <v>14</v>
      </c>
      <c r="I135" s="4">
        <v>43281.659722222219</v>
      </c>
      <c r="J135" s="2" t="s">
        <v>8630</v>
      </c>
    </row>
    <row r="136" spans="1:10" ht="135" x14ac:dyDescent="0.25">
      <c r="A136" s="2" t="s">
        <v>1798</v>
      </c>
      <c r="B136" s="2">
        <v>336.01472999999999</v>
      </c>
      <c r="C136" s="2" t="s">
        <v>1799</v>
      </c>
      <c r="D136" s="2" t="s">
        <v>1797</v>
      </c>
      <c r="E136" s="2" t="s">
        <v>216</v>
      </c>
      <c r="F136" s="3">
        <v>43132</v>
      </c>
      <c r="G136" s="2" t="str">
        <f>"9781438468198"</f>
        <v>9781438468198</v>
      </c>
      <c r="H136" s="2" t="s">
        <v>14</v>
      </c>
      <c r="I136" s="4">
        <v>43926.84375</v>
      </c>
      <c r="J136" s="2" t="s">
        <v>1800</v>
      </c>
    </row>
    <row r="137" spans="1:10" ht="135" x14ac:dyDescent="0.25">
      <c r="A137" s="2" t="s">
        <v>11760</v>
      </c>
      <c r="B137" s="2" t="s">
        <v>11761</v>
      </c>
      <c r="C137" s="2" t="s">
        <v>11762</v>
      </c>
      <c r="D137" s="2" t="s">
        <v>11759</v>
      </c>
      <c r="E137" s="2" t="s">
        <v>1550</v>
      </c>
      <c r="F137" s="3">
        <v>41974</v>
      </c>
      <c r="G137" s="2" t="str">
        <f>"9781611321708"</f>
        <v>9781611321708</v>
      </c>
      <c r="H137" s="2" t="s">
        <v>14</v>
      </c>
      <c r="I137" s="4">
        <v>42899.623611111114</v>
      </c>
      <c r="J137" s="2" t="s">
        <v>11763</v>
      </c>
    </row>
    <row r="138" spans="1:10" ht="135" x14ac:dyDescent="0.25">
      <c r="A138" s="2" t="s">
        <v>5155</v>
      </c>
      <c r="B138" s="2">
        <v>385.09730000000002</v>
      </c>
      <c r="C138" s="2" t="s">
        <v>5156</v>
      </c>
      <c r="D138" s="2" t="s">
        <v>5154</v>
      </c>
      <c r="E138" s="2" t="s">
        <v>69</v>
      </c>
      <c r="F138" s="3">
        <v>41199</v>
      </c>
      <c r="G138" s="2" t="str">
        <f>"9780253006370"</f>
        <v>9780253006370</v>
      </c>
      <c r="H138" s="2" t="s">
        <v>14</v>
      </c>
      <c r="I138" s="4">
        <v>43609.786805555559</v>
      </c>
      <c r="J138" s="2" t="s">
        <v>5157</v>
      </c>
    </row>
    <row r="139" spans="1:10" ht="135" x14ac:dyDescent="0.25">
      <c r="A139" s="2" t="s">
        <v>4952</v>
      </c>
      <c r="B139" s="2">
        <v>333.79097300000001</v>
      </c>
      <c r="C139" s="2" t="s">
        <v>4953</v>
      </c>
      <c r="D139" s="2" t="s">
        <v>4951</v>
      </c>
      <c r="E139" s="2" t="s">
        <v>216</v>
      </c>
      <c r="F139" s="3">
        <v>43160</v>
      </c>
      <c r="G139" s="2" t="str">
        <f>"9781438469829"</f>
        <v>9781438469829</v>
      </c>
      <c r="H139" s="2" t="s">
        <v>14</v>
      </c>
      <c r="I139" s="4">
        <v>43614.897222222222</v>
      </c>
      <c r="J139" s="2" t="s">
        <v>4954</v>
      </c>
    </row>
    <row r="140" spans="1:10" ht="165" x14ac:dyDescent="0.25">
      <c r="A140" s="2" t="s">
        <v>4952</v>
      </c>
      <c r="B140" s="2">
        <v>333.72095200000001</v>
      </c>
      <c r="C140" s="2" t="s">
        <v>6335</v>
      </c>
      <c r="D140" s="2" t="s">
        <v>6334</v>
      </c>
      <c r="E140" s="2" t="s">
        <v>846</v>
      </c>
      <c r="F140" s="3">
        <v>43118</v>
      </c>
      <c r="G140" s="2" t="str">
        <f>"9781487514914"</f>
        <v>9781487514914</v>
      </c>
      <c r="H140" s="2" t="s">
        <v>14</v>
      </c>
      <c r="I140" s="4">
        <v>43524.888888888891</v>
      </c>
      <c r="J140" s="2" t="s">
        <v>6336</v>
      </c>
    </row>
    <row r="141" spans="1:10" ht="135" x14ac:dyDescent="0.25">
      <c r="A141" s="2" t="s">
        <v>7933</v>
      </c>
      <c r="B141" s="2" t="s">
        <v>7934</v>
      </c>
      <c r="C141" s="2" t="s">
        <v>6222</v>
      </c>
      <c r="D141" s="2" t="s">
        <v>7932</v>
      </c>
      <c r="E141" s="2" t="s">
        <v>54</v>
      </c>
      <c r="F141" s="3">
        <v>42102</v>
      </c>
      <c r="G141" s="2" t="str">
        <f>"9780804794749"</f>
        <v>9780804794749</v>
      </c>
      <c r="H141" s="2" t="s">
        <v>14</v>
      </c>
      <c r="I141" s="4">
        <v>43375.38958333333</v>
      </c>
      <c r="J141" s="2" t="s">
        <v>7935</v>
      </c>
    </row>
    <row r="142" spans="1:10" ht="135" x14ac:dyDescent="0.25">
      <c r="A142" s="2" t="s">
        <v>329</v>
      </c>
      <c r="B142" s="2">
        <v>971.3</v>
      </c>
      <c r="C142" s="2" t="s">
        <v>3726</v>
      </c>
      <c r="D142" s="2" t="s">
        <v>3725</v>
      </c>
      <c r="E142" s="2" t="s">
        <v>130</v>
      </c>
      <c r="F142" s="3">
        <v>43697</v>
      </c>
      <c r="G142" s="2" t="str">
        <f>"9780813057125"</f>
        <v>9780813057125</v>
      </c>
      <c r="H142" s="2" t="s">
        <v>14</v>
      </c>
      <c r="I142" s="4">
        <v>43761.302083333336</v>
      </c>
      <c r="J142" s="2" t="s">
        <v>3727</v>
      </c>
    </row>
    <row r="143" spans="1:10" ht="135" x14ac:dyDescent="0.25">
      <c r="A143" s="2" t="s">
        <v>329</v>
      </c>
      <c r="B143" s="2">
        <v>945.18</v>
      </c>
      <c r="C143" s="2" t="s">
        <v>330</v>
      </c>
      <c r="D143" s="2" t="s">
        <v>327</v>
      </c>
      <c r="E143" s="2" t="s">
        <v>328</v>
      </c>
      <c r="F143" s="3">
        <v>42790</v>
      </c>
      <c r="G143" s="2" t="str">
        <f>"9781498534222"</f>
        <v>9781498534222</v>
      </c>
      <c r="H143" s="2" t="s">
        <v>14</v>
      </c>
      <c r="I143" s="4">
        <v>44039.6</v>
      </c>
      <c r="J143" s="2" t="s">
        <v>331</v>
      </c>
    </row>
    <row r="144" spans="1:10" ht="135" x14ac:dyDescent="0.25">
      <c r="A144" s="2" t="s">
        <v>9017</v>
      </c>
      <c r="B144" s="2">
        <v>339.20972999999998</v>
      </c>
      <c r="C144" s="2" t="s">
        <v>9018</v>
      </c>
      <c r="D144" s="2" t="s">
        <v>9016</v>
      </c>
      <c r="E144" s="2" t="s">
        <v>54</v>
      </c>
      <c r="F144" s="3">
        <v>41381</v>
      </c>
      <c r="G144" s="2" t="str">
        <f>"9780804786317"</f>
        <v>9780804786317</v>
      </c>
      <c r="H144" s="2" t="s">
        <v>14</v>
      </c>
      <c r="I144" s="4">
        <v>43227.446527777778</v>
      </c>
      <c r="J144" s="2" t="s">
        <v>9019</v>
      </c>
    </row>
    <row r="145" spans="1:10" ht="135" x14ac:dyDescent="0.25">
      <c r="A145" s="2" t="s">
        <v>11172</v>
      </c>
      <c r="B145" s="2">
        <v>341.48440266510698</v>
      </c>
      <c r="C145" s="2" t="s">
        <v>11173</v>
      </c>
      <c r="D145" s="2" t="s">
        <v>11171</v>
      </c>
      <c r="E145" s="2" t="s">
        <v>3807</v>
      </c>
      <c r="F145" s="3">
        <v>41852</v>
      </c>
      <c r="G145" s="2" t="str">
        <f>"9780774825610"</f>
        <v>9780774825610</v>
      </c>
      <c r="H145" s="2" t="s">
        <v>14</v>
      </c>
      <c r="I145" s="4">
        <v>43011.322222222225</v>
      </c>
      <c r="J145" s="2" t="s">
        <v>11174</v>
      </c>
    </row>
    <row r="146" spans="1:10" ht="135" x14ac:dyDescent="0.25">
      <c r="A146" s="2" t="s">
        <v>11144</v>
      </c>
      <c r="B146" s="2">
        <v>658.40599999999995</v>
      </c>
      <c r="C146" s="2" t="s">
        <v>619</v>
      </c>
      <c r="D146" s="2" t="s">
        <v>11143</v>
      </c>
      <c r="E146" s="2" t="s">
        <v>17</v>
      </c>
      <c r="F146" s="3">
        <v>42605</v>
      </c>
      <c r="G146" s="2" t="str">
        <f>"9781137569578"</f>
        <v>9781137569578</v>
      </c>
      <c r="H146" s="2" t="s">
        <v>14</v>
      </c>
      <c r="I146" s="4">
        <v>43013.629861111112</v>
      </c>
      <c r="J146" s="2" t="s">
        <v>11145</v>
      </c>
    </row>
    <row r="147" spans="1:10" ht="135" x14ac:dyDescent="0.25">
      <c r="A147" s="2" t="s">
        <v>3960</v>
      </c>
      <c r="B147" s="2" t="s">
        <v>3961</v>
      </c>
      <c r="C147" s="2" t="s">
        <v>3962</v>
      </c>
      <c r="D147" s="2" t="s">
        <v>3959</v>
      </c>
      <c r="E147" s="2" t="s">
        <v>268</v>
      </c>
      <c r="F147" s="3">
        <v>43704</v>
      </c>
      <c r="G147" s="2" t="str">
        <f>"9780815737209"</f>
        <v>9780815737209</v>
      </c>
      <c r="H147" s="2" t="s">
        <v>14</v>
      </c>
      <c r="I147" s="4">
        <v>43734.918749999997</v>
      </c>
      <c r="J147" s="2" t="s">
        <v>3963</v>
      </c>
    </row>
    <row r="148" spans="1:10" ht="135" x14ac:dyDescent="0.25">
      <c r="A148" s="2" t="s">
        <v>3960</v>
      </c>
      <c r="B148" s="2">
        <v>174</v>
      </c>
      <c r="C148" s="2" t="s">
        <v>12838</v>
      </c>
      <c r="D148" s="2" t="s">
        <v>12837</v>
      </c>
      <c r="E148" s="2" t="s">
        <v>390</v>
      </c>
      <c r="F148" s="3">
        <v>40193</v>
      </c>
      <c r="G148" s="2" t="str">
        <f>"9780268096625"</f>
        <v>9780268096625</v>
      </c>
      <c r="H148" s="2" t="s">
        <v>14</v>
      </c>
      <c r="I148" s="4">
        <v>42769.65625</v>
      </c>
      <c r="J148" s="2" t="s">
        <v>12839</v>
      </c>
    </row>
    <row r="149" spans="1:10" ht="135" x14ac:dyDescent="0.25">
      <c r="A149" s="2" t="s">
        <v>3960</v>
      </c>
      <c r="B149" s="2">
        <v>177.5</v>
      </c>
      <c r="C149" s="2" t="s">
        <v>9403</v>
      </c>
      <c r="D149" s="2" t="s">
        <v>9402</v>
      </c>
      <c r="E149" s="2" t="s">
        <v>97</v>
      </c>
      <c r="F149" s="3">
        <v>42255</v>
      </c>
      <c r="G149" s="2" t="str">
        <f>"9780231539883"</f>
        <v>9780231539883</v>
      </c>
      <c r="H149" s="2" t="s">
        <v>14</v>
      </c>
      <c r="I149" s="4">
        <v>43174.438194444447</v>
      </c>
      <c r="J149" s="2" t="s">
        <v>9404</v>
      </c>
    </row>
    <row r="150" spans="1:10" ht="135" x14ac:dyDescent="0.25">
      <c r="A150" s="2" t="s">
        <v>6850</v>
      </c>
      <c r="B150" s="2">
        <v>327.73</v>
      </c>
      <c r="C150" s="2" t="s">
        <v>10328</v>
      </c>
      <c r="D150" s="2" t="s">
        <v>10327</v>
      </c>
      <c r="E150" s="2" t="s">
        <v>4660</v>
      </c>
      <c r="F150" s="3">
        <v>41827</v>
      </c>
      <c r="G150" s="2" t="str">
        <f>"9780813165073"</f>
        <v>9780813165073</v>
      </c>
      <c r="H150" s="2" t="s">
        <v>14</v>
      </c>
      <c r="I150" s="4">
        <v>43067.818055555559</v>
      </c>
      <c r="J150" s="2" t="s">
        <v>10329</v>
      </c>
    </row>
    <row r="151" spans="1:10" ht="135" x14ac:dyDescent="0.25">
      <c r="A151" s="2" t="s">
        <v>6850</v>
      </c>
      <c r="B151" s="2">
        <v>320.51299999999901</v>
      </c>
      <c r="C151" s="2" t="s">
        <v>6851</v>
      </c>
      <c r="D151" s="2" t="s">
        <v>6849</v>
      </c>
      <c r="E151" s="2" t="s">
        <v>846</v>
      </c>
      <c r="F151" s="3">
        <v>42639</v>
      </c>
      <c r="G151" s="2" t="str">
        <f>"9781487511913"</f>
        <v>9781487511913</v>
      </c>
      <c r="H151" s="2" t="s">
        <v>14</v>
      </c>
      <c r="I151" s="4">
        <v>43482.45416666667</v>
      </c>
      <c r="J151" s="2" t="s">
        <v>6852</v>
      </c>
    </row>
    <row r="152" spans="1:10" ht="210" x14ac:dyDescent="0.25">
      <c r="A152" s="2" t="s">
        <v>12613</v>
      </c>
      <c r="B152" s="2" t="s">
        <v>12614</v>
      </c>
      <c r="C152" s="2" t="s">
        <v>12615</v>
      </c>
      <c r="D152" s="2" t="s">
        <v>12612</v>
      </c>
      <c r="E152" s="2" t="s">
        <v>156</v>
      </c>
      <c r="F152" s="3">
        <v>39814</v>
      </c>
      <c r="G152" s="2" t="str">
        <f>"9781469627205"</f>
        <v>9781469627205</v>
      </c>
      <c r="H152" s="2" t="s">
        <v>14</v>
      </c>
      <c r="I152" s="4">
        <v>42789.623611111114</v>
      </c>
      <c r="J152" s="2" t="s">
        <v>12616</v>
      </c>
    </row>
    <row r="153" spans="1:10" ht="135" x14ac:dyDescent="0.25">
      <c r="A153" s="2" t="s">
        <v>7361</v>
      </c>
      <c r="B153" s="2" t="s">
        <v>7362</v>
      </c>
      <c r="C153" s="2" t="s">
        <v>1808</v>
      </c>
      <c r="D153" s="2" t="s">
        <v>7360</v>
      </c>
      <c r="E153" s="2" t="s">
        <v>17</v>
      </c>
      <c r="F153" s="3">
        <v>42480</v>
      </c>
      <c r="G153" s="2" t="str">
        <f>"9781137491732"</f>
        <v>9781137491732</v>
      </c>
      <c r="H153" s="2" t="s">
        <v>14</v>
      </c>
      <c r="I153" s="4">
        <v>43423.738888888889</v>
      </c>
      <c r="J153" s="2" t="s">
        <v>7363</v>
      </c>
    </row>
    <row r="154" spans="1:10" ht="225" x14ac:dyDescent="0.25">
      <c r="A154" s="2" t="s">
        <v>957</v>
      </c>
      <c r="B154" s="2">
        <v>303.48259999999999</v>
      </c>
      <c r="C154" s="2" t="s">
        <v>6750</v>
      </c>
      <c r="D154" s="2" t="s">
        <v>6749</v>
      </c>
      <c r="E154" s="2" t="s">
        <v>212</v>
      </c>
      <c r="F154" s="3">
        <v>43086</v>
      </c>
      <c r="G154" s="2" t="str">
        <f>"9789956764228"</f>
        <v>9789956764228</v>
      </c>
      <c r="H154" s="2" t="s">
        <v>14</v>
      </c>
      <c r="I154" s="4">
        <v>43489.916666666664</v>
      </c>
      <c r="J154" s="2" t="s">
        <v>6751</v>
      </c>
    </row>
    <row r="155" spans="1:10" ht="135" x14ac:dyDescent="0.25">
      <c r="A155" s="2" t="s">
        <v>957</v>
      </c>
      <c r="B155" s="2">
        <v>304.80899921000002</v>
      </c>
      <c r="C155" s="2" t="s">
        <v>6556</v>
      </c>
      <c r="D155" s="2" t="s">
        <v>6555</v>
      </c>
      <c r="E155" s="2" t="s">
        <v>69</v>
      </c>
      <c r="F155" s="3">
        <v>42716</v>
      </c>
      <c r="G155" s="2" t="str">
        <f>"9780253024985"</f>
        <v>9780253024985</v>
      </c>
      <c r="H155" s="2" t="s">
        <v>14</v>
      </c>
      <c r="I155" s="4">
        <v>43507.9</v>
      </c>
      <c r="J155" s="2" t="s">
        <v>6557</v>
      </c>
    </row>
    <row r="156" spans="1:10" ht="135" x14ac:dyDescent="0.25">
      <c r="A156" s="2" t="s">
        <v>957</v>
      </c>
      <c r="B156" s="2">
        <v>304.60000000000002</v>
      </c>
      <c r="C156" s="2" t="s">
        <v>9125</v>
      </c>
      <c r="D156" s="2" t="s">
        <v>9124</v>
      </c>
      <c r="E156" s="2" t="s">
        <v>856</v>
      </c>
      <c r="F156" s="3">
        <v>42705</v>
      </c>
      <c r="G156" s="2" t="str">
        <f>"9780295999111"</f>
        <v>9780295999111</v>
      </c>
      <c r="H156" s="2" t="s">
        <v>14</v>
      </c>
      <c r="I156" s="4">
        <v>43215.567361111112</v>
      </c>
      <c r="J156" s="2" t="s">
        <v>9126</v>
      </c>
    </row>
    <row r="157" spans="1:10" ht="135" x14ac:dyDescent="0.25">
      <c r="A157" s="2" t="s">
        <v>957</v>
      </c>
      <c r="B157" s="2">
        <v>305.5620973</v>
      </c>
      <c r="C157" s="2" t="s">
        <v>6381</v>
      </c>
      <c r="D157" s="2" t="s">
        <v>6380</v>
      </c>
      <c r="E157" s="2" t="s">
        <v>578</v>
      </c>
      <c r="F157" s="3">
        <v>43464</v>
      </c>
      <c r="G157" s="2" t="str">
        <f>"9780252051098"</f>
        <v>9780252051098</v>
      </c>
      <c r="H157" s="2" t="s">
        <v>14</v>
      </c>
      <c r="I157" s="4">
        <v>43521.536805555559</v>
      </c>
      <c r="J157" s="2" t="s">
        <v>6382</v>
      </c>
    </row>
    <row r="158" spans="1:10" ht="135" x14ac:dyDescent="0.25">
      <c r="A158" s="2" t="s">
        <v>957</v>
      </c>
      <c r="B158" s="2" t="s">
        <v>958</v>
      </c>
      <c r="C158" s="2" t="s">
        <v>959</v>
      </c>
      <c r="D158" s="2" t="s">
        <v>956</v>
      </c>
      <c r="E158" s="2" t="s">
        <v>585</v>
      </c>
      <c r="F158" s="3">
        <v>30222</v>
      </c>
      <c r="G158" s="2" t="str">
        <f>"9780226217710"</f>
        <v>9780226217710</v>
      </c>
      <c r="H158" s="2" t="s">
        <v>14</v>
      </c>
      <c r="I158" s="4">
        <v>43972.609722222223</v>
      </c>
      <c r="J158" s="2" t="s">
        <v>960</v>
      </c>
    </row>
    <row r="159" spans="1:10" ht="135" x14ac:dyDescent="0.25">
      <c r="A159" s="2" t="s">
        <v>957</v>
      </c>
      <c r="B159" s="2" t="s">
        <v>6911</v>
      </c>
      <c r="C159" s="2" t="s">
        <v>6912</v>
      </c>
      <c r="D159" s="2" t="s">
        <v>6910</v>
      </c>
      <c r="E159" s="2" t="s">
        <v>73</v>
      </c>
      <c r="F159" s="3">
        <v>41743</v>
      </c>
      <c r="G159" s="2" t="str">
        <f>"9781452941776"</f>
        <v>9781452941776</v>
      </c>
      <c r="H159" s="2" t="s">
        <v>14</v>
      </c>
      <c r="I159" s="4">
        <v>43476.863888888889</v>
      </c>
      <c r="J159" s="2" t="s">
        <v>6913</v>
      </c>
    </row>
    <row r="160" spans="1:10" ht="135" x14ac:dyDescent="0.25">
      <c r="A160" s="2" t="s">
        <v>957</v>
      </c>
      <c r="B160" s="2">
        <v>306.20981999999901</v>
      </c>
      <c r="C160" s="2" t="s">
        <v>5969</v>
      </c>
      <c r="D160" s="2" t="s">
        <v>5968</v>
      </c>
      <c r="E160" s="2" t="s">
        <v>54</v>
      </c>
      <c r="F160" s="3">
        <v>42892</v>
      </c>
      <c r="G160" s="2" t="str">
        <f>"9781503602427"</f>
        <v>9781503602427</v>
      </c>
      <c r="H160" s="2" t="s">
        <v>14</v>
      </c>
      <c r="I160" s="4">
        <v>43552.651388888888</v>
      </c>
      <c r="J160" s="2" t="s">
        <v>5970</v>
      </c>
    </row>
    <row r="161" spans="1:10" ht="195" x14ac:dyDescent="0.25">
      <c r="A161" s="2" t="s">
        <v>957</v>
      </c>
      <c r="B161" s="2">
        <v>307.33640979090399</v>
      </c>
      <c r="C161" s="2" t="s">
        <v>3043</v>
      </c>
      <c r="D161" s="2" t="s">
        <v>3042</v>
      </c>
      <c r="E161" s="2" t="s">
        <v>260</v>
      </c>
      <c r="F161" s="3">
        <v>41859</v>
      </c>
      <c r="G161" s="2" t="str">
        <f>"9781439911174"</f>
        <v>9781439911174</v>
      </c>
      <c r="H161" s="2" t="s">
        <v>14</v>
      </c>
      <c r="I161" s="4">
        <v>43823.589583333334</v>
      </c>
      <c r="J161" s="2" t="s">
        <v>3044</v>
      </c>
    </row>
    <row r="162" spans="1:10" ht="135" x14ac:dyDescent="0.25">
      <c r="A162" s="2" t="s">
        <v>957</v>
      </c>
      <c r="B162" s="2">
        <v>303.48329999999999</v>
      </c>
      <c r="C162" s="2" t="s">
        <v>5661</v>
      </c>
      <c r="D162" s="2" t="s">
        <v>5660</v>
      </c>
      <c r="E162" s="2" t="s">
        <v>674</v>
      </c>
      <c r="F162" s="3">
        <v>41883</v>
      </c>
      <c r="G162" s="2" t="str">
        <f>"9780823256174"</f>
        <v>9780823256174</v>
      </c>
      <c r="H162" s="2" t="s">
        <v>14</v>
      </c>
      <c r="I162" s="4">
        <v>43583.033333333333</v>
      </c>
      <c r="J162" s="2" t="s">
        <v>5662</v>
      </c>
    </row>
    <row r="163" spans="1:10" ht="135" x14ac:dyDescent="0.25">
      <c r="A163" s="2" t="s">
        <v>10379</v>
      </c>
      <c r="B163" s="2">
        <v>4.0709999999999997</v>
      </c>
      <c r="C163" s="2" t="s">
        <v>86</v>
      </c>
      <c r="D163" s="2" t="s">
        <v>10378</v>
      </c>
      <c r="E163" s="2" t="s">
        <v>37</v>
      </c>
      <c r="F163" s="3">
        <v>42858</v>
      </c>
      <c r="G163" s="2" t="str">
        <f>"9783319526911"</f>
        <v>9783319526911</v>
      </c>
      <c r="H163" s="2" t="s">
        <v>14</v>
      </c>
      <c r="I163" s="4">
        <v>43062.71597222222</v>
      </c>
      <c r="J163" s="2" t="s">
        <v>10380</v>
      </c>
    </row>
    <row r="164" spans="1:10" ht="135" x14ac:dyDescent="0.25">
      <c r="A164" s="2" t="s">
        <v>3664</v>
      </c>
      <c r="D164" s="2" t="s">
        <v>3663</v>
      </c>
      <c r="E164" s="2" t="s">
        <v>268</v>
      </c>
      <c r="F164" s="3">
        <v>43431</v>
      </c>
      <c r="G164" s="2" t="str">
        <f>"9780815735335"</f>
        <v>9780815735335</v>
      </c>
      <c r="H164" s="2" t="s">
        <v>14</v>
      </c>
      <c r="I164" s="4">
        <v>43767.887499999997</v>
      </c>
      <c r="J164" s="2" t="s">
        <v>3665</v>
      </c>
    </row>
    <row r="165" spans="1:10" ht="135" x14ac:dyDescent="0.25">
      <c r="A165" s="2" t="s">
        <v>12959</v>
      </c>
      <c r="B165" s="2">
        <v>6.7</v>
      </c>
      <c r="C165" s="2" t="s">
        <v>12960</v>
      </c>
      <c r="D165" s="2" t="s">
        <v>12958</v>
      </c>
      <c r="E165" s="2" t="s">
        <v>235</v>
      </c>
      <c r="F165" s="3">
        <v>42506</v>
      </c>
      <c r="G165" s="2" t="str">
        <f>"9781440838576"</f>
        <v>9781440838576</v>
      </c>
      <c r="H165" s="2" t="s">
        <v>14</v>
      </c>
      <c r="I165" s="4">
        <v>42753.711805555555</v>
      </c>
      <c r="J165" s="2" t="s">
        <v>12961</v>
      </c>
    </row>
    <row r="166" spans="1:10" ht="135" x14ac:dyDescent="0.25">
      <c r="A166" s="2" t="s">
        <v>11150</v>
      </c>
      <c r="B166" s="2">
        <v>363.3480285</v>
      </c>
      <c r="C166" s="2" t="s">
        <v>11151</v>
      </c>
      <c r="D166" s="2" t="s">
        <v>11149</v>
      </c>
      <c r="E166" s="2" t="s">
        <v>1550</v>
      </c>
      <c r="F166" s="3">
        <v>42010</v>
      </c>
      <c r="G166" s="2" t="str">
        <f>"9781482248401"</f>
        <v>9781482248401</v>
      </c>
      <c r="H166" s="2" t="s">
        <v>14</v>
      </c>
      <c r="I166" s="4">
        <v>43013.401388888888</v>
      </c>
      <c r="J166" s="2" t="s">
        <v>11152</v>
      </c>
    </row>
    <row r="167" spans="1:10" ht="135" x14ac:dyDescent="0.25">
      <c r="A167" s="2" t="s">
        <v>2984</v>
      </c>
      <c r="B167" s="2" t="s">
        <v>2985</v>
      </c>
      <c r="C167" s="2" t="s">
        <v>2986</v>
      </c>
      <c r="D167" s="2" t="s">
        <v>2983</v>
      </c>
      <c r="E167" s="2" t="s">
        <v>216</v>
      </c>
      <c r="F167" s="3">
        <v>43709</v>
      </c>
      <c r="G167" s="2" t="str">
        <f>"9781438477411"</f>
        <v>9781438477411</v>
      </c>
      <c r="H167" s="2" t="s">
        <v>14</v>
      </c>
      <c r="I167" s="4">
        <v>43836.569444444445</v>
      </c>
      <c r="J167" s="2" t="s">
        <v>2987</v>
      </c>
    </row>
    <row r="168" spans="1:10" ht="135" x14ac:dyDescent="0.25">
      <c r="A168" s="2" t="s">
        <v>323</v>
      </c>
      <c r="B168" s="2">
        <v>337.16</v>
      </c>
      <c r="C168" s="2" t="s">
        <v>10505</v>
      </c>
      <c r="D168" s="2" t="s">
        <v>10504</v>
      </c>
      <c r="E168" s="2" t="s">
        <v>37</v>
      </c>
      <c r="F168" s="3">
        <v>42648</v>
      </c>
      <c r="G168" s="2" t="str">
        <f>"9783319306926"</f>
        <v>9783319306926</v>
      </c>
      <c r="H168" s="2" t="s">
        <v>14</v>
      </c>
      <c r="I168" s="4">
        <v>43053.874305555553</v>
      </c>
      <c r="J168" s="2" t="s">
        <v>10506</v>
      </c>
    </row>
    <row r="169" spans="1:10" ht="135" x14ac:dyDescent="0.25">
      <c r="A169" s="2" t="s">
        <v>323</v>
      </c>
      <c r="B169" s="2">
        <v>339.46096782000001</v>
      </c>
      <c r="C169" s="2" t="s">
        <v>4486</v>
      </c>
      <c r="D169" s="2" t="s">
        <v>4485</v>
      </c>
      <c r="E169" s="2" t="s">
        <v>69</v>
      </c>
      <c r="F169" s="3">
        <v>43341</v>
      </c>
      <c r="G169" s="2" t="str">
        <f>"9780253038401"</f>
        <v>9780253038401</v>
      </c>
      <c r="H169" s="2" t="s">
        <v>14</v>
      </c>
      <c r="I169" s="4">
        <v>43660.818055555559</v>
      </c>
      <c r="J169" s="2" t="s">
        <v>4487</v>
      </c>
    </row>
    <row r="170" spans="1:10" ht="165" x14ac:dyDescent="0.25">
      <c r="A170" s="2" t="s">
        <v>323</v>
      </c>
      <c r="B170" s="2">
        <v>331.12790967900003</v>
      </c>
      <c r="C170" s="2" t="s">
        <v>4912</v>
      </c>
      <c r="D170" s="2" t="s">
        <v>4911</v>
      </c>
      <c r="E170" s="2" t="s">
        <v>28</v>
      </c>
      <c r="F170" s="3">
        <v>43383</v>
      </c>
      <c r="G170" s="2" t="str">
        <f>"9780813941554"</f>
        <v>9780813941554</v>
      </c>
      <c r="H170" s="2" t="s">
        <v>14</v>
      </c>
      <c r="I170" s="4">
        <v>43619.017361111109</v>
      </c>
      <c r="J170" s="2" t="s">
        <v>4913</v>
      </c>
    </row>
    <row r="171" spans="1:10" ht="150" x14ac:dyDescent="0.25">
      <c r="A171" s="2" t="s">
        <v>323</v>
      </c>
      <c r="B171" s="2">
        <v>332.024</v>
      </c>
      <c r="C171" s="2" t="s">
        <v>2724</v>
      </c>
      <c r="D171" s="2" t="s">
        <v>2723</v>
      </c>
      <c r="E171" s="2" t="s">
        <v>268</v>
      </c>
      <c r="F171" s="3">
        <v>38589</v>
      </c>
      <c r="G171" s="2" t="str">
        <f>"9780815797845"</f>
        <v>9780815797845</v>
      </c>
      <c r="H171" s="2" t="s">
        <v>14</v>
      </c>
      <c r="I171" s="4">
        <v>43861.621527777781</v>
      </c>
      <c r="J171" s="2" t="s">
        <v>2725</v>
      </c>
    </row>
    <row r="172" spans="1:10" ht="135" x14ac:dyDescent="0.25">
      <c r="A172" s="2" t="s">
        <v>323</v>
      </c>
      <c r="B172" s="2" t="s">
        <v>3174</v>
      </c>
      <c r="C172" s="2" t="s">
        <v>3175</v>
      </c>
      <c r="D172" s="2" t="s">
        <v>3173</v>
      </c>
      <c r="E172" s="2" t="s">
        <v>856</v>
      </c>
      <c r="F172" s="3">
        <v>42359</v>
      </c>
      <c r="G172" s="2" t="str">
        <f>"9780295806198"</f>
        <v>9780295806198</v>
      </c>
      <c r="H172" s="2" t="s">
        <v>14</v>
      </c>
      <c r="I172" s="4">
        <v>43802.488194444442</v>
      </c>
      <c r="J172" s="2" t="s">
        <v>3176</v>
      </c>
    </row>
    <row r="173" spans="1:10" ht="135" x14ac:dyDescent="0.25">
      <c r="A173" s="2" t="s">
        <v>323</v>
      </c>
      <c r="B173" s="2">
        <v>332.04199999999997</v>
      </c>
      <c r="C173" s="2" t="s">
        <v>7535</v>
      </c>
      <c r="D173" s="2" t="s">
        <v>7534</v>
      </c>
      <c r="E173" s="2" t="s">
        <v>268</v>
      </c>
      <c r="F173" s="3">
        <v>43326</v>
      </c>
      <c r="G173" s="2" t="str">
        <f>"9780815736752"</f>
        <v>9780815736752</v>
      </c>
      <c r="H173" s="2" t="s">
        <v>14</v>
      </c>
      <c r="I173" s="4">
        <v>43410.468055555553</v>
      </c>
      <c r="J173" s="2" t="s">
        <v>7536</v>
      </c>
    </row>
    <row r="174" spans="1:10" ht="225" x14ac:dyDescent="0.25">
      <c r="A174" s="2" t="s">
        <v>323</v>
      </c>
      <c r="B174" s="2">
        <v>336.3435096</v>
      </c>
      <c r="C174" s="2" t="s">
        <v>4400</v>
      </c>
      <c r="D174" s="2" t="s">
        <v>4399</v>
      </c>
      <c r="E174" s="2" t="s">
        <v>212</v>
      </c>
      <c r="F174" s="3">
        <v>43360</v>
      </c>
      <c r="G174" s="2" t="str">
        <f>"9789956550999"</f>
        <v>9789956550999</v>
      </c>
      <c r="H174" s="2" t="s">
        <v>14</v>
      </c>
      <c r="I174" s="4">
        <v>43673.574305555558</v>
      </c>
      <c r="J174" s="2" t="s">
        <v>4401</v>
      </c>
    </row>
    <row r="175" spans="1:10" ht="135" x14ac:dyDescent="0.25">
      <c r="A175" s="2" t="s">
        <v>323</v>
      </c>
      <c r="B175" s="2">
        <v>338.01</v>
      </c>
      <c r="C175" s="2" t="s">
        <v>8926</v>
      </c>
      <c r="D175" s="2" t="s">
        <v>8925</v>
      </c>
      <c r="E175" s="2" t="s">
        <v>4660</v>
      </c>
      <c r="F175" s="3">
        <v>41827</v>
      </c>
      <c r="G175" s="2" t="str">
        <f>"9780813163222"</f>
        <v>9780813163222</v>
      </c>
      <c r="H175" s="2" t="s">
        <v>14</v>
      </c>
      <c r="I175" s="4">
        <v>43238.711111111108</v>
      </c>
      <c r="J175" s="2" t="s">
        <v>8927</v>
      </c>
    </row>
    <row r="176" spans="1:10" ht="135" x14ac:dyDescent="0.25">
      <c r="A176" s="2" t="s">
        <v>323</v>
      </c>
      <c r="B176" s="2">
        <v>338.95670000000001</v>
      </c>
      <c r="D176" s="2" t="s">
        <v>5021</v>
      </c>
      <c r="E176" s="2" t="s">
        <v>54</v>
      </c>
      <c r="F176" s="3">
        <v>43480</v>
      </c>
      <c r="G176" s="2" t="str">
        <f>"9781503607491"</f>
        <v>9781503607491</v>
      </c>
      <c r="H176" s="2" t="s">
        <v>14</v>
      </c>
      <c r="I176" s="4">
        <v>43612.480555555558</v>
      </c>
      <c r="J176" s="2" t="s">
        <v>5022</v>
      </c>
    </row>
    <row r="177" spans="1:10" ht="135" x14ac:dyDescent="0.25">
      <c r="A177" s="2" t="s">
        <v>323</v>
      </c>
      <c r="B177" s="2">
        <v>331.09730000000002</v>
      </c>
      <c r="C177" s="2" t="s">
        <v>5674</v>
      </c>
      <c r="D177" s="2" t="s">
        <v>5673</v>
      </c>
      <c r="E177" s="2" t="s">
        <v>578</v>
      </c>
      <c r="F177" s="3">
        <v>43180</v>
      </c>
      <c r="G177" s="2" t="str">
        <f>"9780252050503"</f>
        <v>9780252050503</v>
      </c>
      <c r="H177" s="2" t="s">
        <v>14</v>
      </c>
      <c r="I177" s="4">
        <v>43582.37777777778</v>
      </c>
      <c r="J177" s="2" t="s">
        <v>5675</v>
      </c>
    </row>
    <row r="178" spans="1:10" ht="135" x14ac:dyDescent="0.25">
      <c r="A178" s="2" t="s">
        <v>323</v>
      </c>
      <c r="B178" s="2">
        <v>330.90010000000001</v>
      </c>
      <c r="C178" s="2" t="s">
        <v>11873</v>
      </c>
      <c r="D178" s="2" t="s">
        <v>11871</v>
      </c>
      <c r="E178" s="2" t="s">
        <v>11872</v>
      </c>
      <c r="F178" s="3">
        <v>42583</v>
      </c>
      <c r="G178" s="2" t="str">
        <f>"9781598132779"</f>
        <v>9781598132779</v>
      </c>
      <c r="H178" s="2" t="s">
        <v>14</v>
      </c>
      <c r="I178" s="4">
        <v>42876.190972222219</v>
      </c>
      <c r="J178" s="2" t="s">
        <v>11874</v>
      </c>
    </row>
    <row r="179" spans="1:10" ht="135" x14ac:dyDescent="0.25">
      <c r="A179" s="2" t="s">
        <v>323</v>
      </c>
      <c r="B179" s="2">
        <v>331.88</v>
      </c>
      <c r="C179" s="2" t="s">
        <v>12474</v>
      </c>
      <c r="D179" s="2" t="s">
        <v>12473</v>
      </c>
      <c r="E179" s="2" t="s">
        <v>6704</v>
      </c>
      <c r="F179" s="3">
        <v>41564</v>
      </c>
      <c r="G179" s="2" t="str">
        <f>"9780801469480"</f>
        <v>9780801469480</v>
      </c>
      <c r="H179" s="2" t="s">
        <v>14</v>
      </c>
      <c r="I179" s="4">
        <v>42803.454861111109</v>
      </c>
      <c r="J179" s="2" t="s">
        <v>12475</v>
      </c>
    </row>
    <row r="180" spans="1:10" ht="135" x14ac:dyDescent="0.25">
      <c r="A180" s="2" t="s">
        <v>323</v>
      </c>
      <c r="B180" s="2">
        <v>338.9</v>
      </c>
      <c r="C180" s="2" t="s">
        <v>5246</v>
      </c>
      <c r="D180" s="2" t="s">
        <v>5245</v>
      </c>
      <c r="E180" s="2" t="s">
        <v>268</v>
      </c>
      <c r="F180" s="3">
        <v>43116</v>
      </c>
      <c r="G180" s="2" t="str">
        <f>"9781944691042"</f>
        <v>9781944691042</v>
      </c>
      <c r="H180" s="2" t="s">
        <v>14</v>
      </c>
      <c r="I180" s="4">
        <v>43606.662499999999</v>
      </c>
      <c r="J180" s="2" t="s">
        <v>5247</v>
      </c>
    </row>
    <row r="181" spans="1:10" ht="135" x14ac:dyDescent="0.25">
      <c r="A181" s="2" t="s">
        <v>323</v>
      </c>
      <c r="B181" s="2" t="s">
        <v>7581</v>
      </c>
      <c r="C181" s="2" t="s">
        <v>7582</v>
      </c>
      <c r="D181" s="2" t="s">
        <v>7580</v>
      </c>
      <c r="E181" s="2" t="s">
        <v>1698</v>
      </c>
      <c r="F181" s="3">
        <v>42528</v>
      </c>
      <c r="G181" s="2" t="str">
        <f>"9780674545878"</f>
        <v>9780674545878</v>
      </c>
      <c r="H181" s="2" t="s">
        <v>14</v>
      </c>
      <c r="I181" s="4">
        <v>43406.729861111111</v>
      </c>
      <c r="J181" s="2" t="s">
        <v>7583</v>
      </c>
    </row>
    <row r="182" spans="1:10" ht="135" x14ac:dyDescent="0.25">
      <c r="A182" s="2" t="s">
        <v>323</v>
      </c>
      <c r="B182" s="2">
        <v>338.92700000000002</v>
      </c>
      <c r="C182" s="2" t="s">
        <v>2661</v>
      </c>
      <c r="D182" s="2" t="s">
        <v>2660</v>
      </c>
      <c r="E182" s="2" t="s">
        <v>268</v>
      </c>
      <c r="F182" s="3">
        <v>43767</v>
      </c>
      <c r="G182" s="2" t="str">
        <f>"9780815737841"</f>
        <v>9780815737841</v>
      </c>
      <c r="H182" s="2" t="s">
        <v>14</v>
      </c>
      <c r="I182" s="4">
        <v>43867.626388888886</v>
      </c>
      <c r="J182" s="2" t="s">
        <v>2662</v>
      </c>
    </row>
    <row r="183" spans="1:10" ht="135" x14ac:dyDescent="0.25">
      <c r="A183" s="2" t="s">
        <v>323</v>
      </c>
      <c r="B183" s="2">
        <v>332.3</v>
      </c>
      <c r="C183" s="2" t="s">
        <v>4542</v>
      </c>
      <c r="D183" s="2" t="s">
        <v>4541</v>
      </c>
      <c r="E183" s="2" t="s">
        <v>268</v>
      </c>
      <c r="F183" s="3">
        <v>42829</v>
      </c>
      <c r="G183" s="2" t="str">
        <f>"9780815729013"</f>
        <v>9780815729013</v>
      </c>
      <c r="H183" s="2" t="s">
        <v>14</v>
      </c>
      <c r="I183" s="4">
        <v>43649.59375</v>
      </c>
      <c r="J183" s="2" t="s">
        <v>4543</v>
      </c>
    </row>
    <row r="184" spans="1:10" ht="135" x14ac:dyDescent="0.25">
      <c r="A184" s="2" t="s">
        <v>323</v>
      </c>
      <c r="B184" s="2">
        <v>338.96</v>
      </c>
      <c r="C184" s="2" t="s">
        <v>9202</v>
      </c>
      <c r="D184" s="2" t="s">
        <v>9201</v>
      </c>
      <c r="E184" s="2" t="s">
        <v>268</v>
      </c>
      <c r="F184" s="3">
        <v>42423</v>
      </c>
      <c r="G184" s="2" t="str">
        <f>"9780815728177"</f>
        <v>9780815728177</v>
      </c>
      <c r="H184" s="2" t="s">
        <v>14</v>
      </c>
      <c r="I184" s="4">
        <v>43200.444444444445</v>
      </c>
      <c r="J184" s="2" t="s">
        <v>9203</v>
      </c>
    </row>
    <row r="185" spans="1:10" ht="135" x14ac:dyDescent="0.25">
      <c r="A185" s="2" t="s">
        <v>323</v>
      </c>
      <c r="B185" s="2">
        <v>330.95357000000001</v>
      </c>
      <c r="C185" s="2" t="s">
        <v>12833</v>
      </c>
      <c r="D185" s="2" t="s">
        <v>12832</v>
      </c>
      <c r="E185" s="2" t="s">
        <v>310</v>
      </c>
      <c r="F185" s="3">
        <v>42213</v>
      </c>
      <c r="G185" s="2" t="str">
        <f>"9780815653448"</f>
        <v>9780815653448</v>
      </c>
      <c r="H185" s="2" t="s">
        <v>14</v>
      </c>
      <c r="I185" s="4">
        <v>42770.629166666666</v>
      </c>
      <c r="J185" s="2" t="s">
        <v>12834</v>
      </c>
    </row>
    <row r="186" spans="1:10" ht="135" x14ac:dyDescent="0.25">
      <c r="A186" s="2" t="s">
        <v>323</v>
      </c>
      <c r="B186" s="2" t="s">
        <v>12216</v>
      </c>
      <c r="C186" s="2" t="s">
        <v>4429</v>
      </c>
      <c r="D186" s="2" t="s">
        <v>12215</v>
      </c>
      <c r="E186" s="2" t="s">
        <v>54</v>
      </c>
      <c r="F186" s="3">
        <v>42326</v>
      </c>
      <c r="G186" s="2" t="str">
        <f>"9780804796729"</f>
        <v>9780804796729</v>
      </c>
      <c r="H186" s="2" t="s">
        <v>14</v>
      </c>
      <c r="I186" s="4">
        <v>42829.696527777778</v>
      </c>
      <c r="J186" s="2" t="s">
        <v>12217</v>
      </c>
    </row>
    <row r="187" spans="1:10" ht="135" x14ac:dyDescent="0.25">
      <c r="A187" s="2" t="s">
        <v>323</v>
      </c>
      <c r="B187" s="2">
        <v>331.12042400000001</v>
      </c>
      <c r="C187" s="2" t="s">
        <v>6401</v>
      </c>
      <c r="D187" s="2" t="s">
        <v>6400</v>
      </c>
      <c r="E187" s="2" t="s">
        <v>156</v>
      </c>
      <c r="F187" s="3">
        <v>42671</v>
      </c>
      <c r="G187" s="2" t="str">
        <f>"9781469630670"</f>
        <v>9781469630670</v>
      </c>
      <c r="H187" s="2" t="s">
        <v>14</v>
      </c>
      <c r="I187" s="4">
        <v>43520.427083333336</v>
      </c>
      <c r="J187" s="2" t="s">
        <v>6402</v>
      </c>
    </row>
    <row r="188" spans="1:10" ht="135" x14ac:dyDescent="0.25">
      <c r="A188" s="2" t="s">
        <v>323</v>
      </c>
      <c r="B188" s="2" t="s">
        <v>790</v>
      </c>
      <c r="C188" s="2" t="s">
        <v>791</v>
      </c>
      <c r="D188" s="2" t="s">
        <v>789</v>
      </c>
      <c r="E188" s="2" t="s">
        <v>216</v>
      </c>
      <c r="F188" s="3">
        <v>42095</v>
      </c>
      <c r="G188" s="2" t="str">
        <f>"9781438455518"</f>
        <v>9781438455518</v>
      </c>
      <c r="H188" s="2" t="s">
        <v>14</v>
      </c>
      <c r="I188" s="4">
        <v>43986.859722222223</v>
      </c>
      <c r="J188" s="2" t="s">
        <v>792</v>
      </c>
    </row>
    <row r="189" spans="1:10" ht="135" x14ac:dyDescent="0.25">
      <c r="A189" s="2" t="s">
        <v>323</v>
      </c>
      <c r="B189" s="2" t="s">
        <v>953</v>
      </c>
      <c r="C189" s="2" t="s">
        <v>954</v>
      </c>
      <c r="D189" s="2" t="s">
        <v>952</v>
      </c>
      <c r="E189" s="2" t="s">
        <v>585</v>
      </c>
      <c r="F189" s="3">
        <v>42711</v>
      </c>
      <c r="G189" s="2" t="str">
        <f>"9780226397368"</f>
        <v>9780226397368</v>
      </c>
      <c r="H189" s="2" t="s">
        <v>14</v>
      </c>
      <c r="I189" s="4">
        <v>43973.509722222225</v>
      </c>
      <c r="J189" s="2" t="s">
        <v>955</v>
      </c>
    </row>
    <row r="190" spans="1:10" ht="135" x14ac:dyDescent="0.25">
      <c r="A190" s="2" t="s">
        <v>323</v>
      </c>
      <c r="B190" s="2" t="s">
        <v>11179</v>
      </c>
      <c r="C190" s="2" t="s">
        <v>11180</v>
      </c>
      <c r="D190" s="2" t="s">
        <v>11178</v>
      </c>
      <c r="E190" s="2" t="s">
        <v>705</v>
      </c>
      <c r="F190" s="3">
        <v>42269</v>
      </c>
      <c r="G190" s="2" t="str">
        <f>"9781400873265"</f>
        <v>9781400873265</v>
      </c>
      <c r="H190" s="2" t="s">
        <v>14</v>
      </c>
      <c r="I190" s="4">
        <v>43010.591666666667</v>
      </c>
      <c r="J190" s="2" t="s">
        <v>11181</v>
      </c>
    </row>
    <row r="191" spans="1:10" ht="135" x14ac:dyDescent="0.25">
      <c r="A191" s="2" t="s">
        <v>323</v>
      </c>
      <c r="B191" s="2">
        <v>330</v>
      </c>
      <c r="C191" s="2" t="s">
        <v>12249</v>
      </c>
      <c r="D191" s="2" t="s">
        <v>12248</v>
      </c>
      <c r="E191" s="2" t="s">
        <v>80</v>
      </c>
      <c r="F191" s="3">
        <v>41801</v>
      </c>
      <c r="G191" s="2" t="str">
        <f>"9783653024166"</f>
        <v>9783653024166</v>
      </c>
      <c r="H191" s="2" t="s">
        <v>14</v>
      </c>
      <c r="I191" s="4">
        <v>42826.558333333334</v>
      </c>
      <c r="J191" s="2" t="s">
        <v>12250</v>
      </c>
    </row>
    <row r="192" spans="1:10" ht="135" x14ac:dyDescent="0.25">
      <c r="A192" s="2" t="s">
        <v>323</v>
      </c>
      <c r="B192" s="2" t="s">
        <v>4276</v>
      </c>
      <c r="C192" s="2" t="s">
        <v>4277</v>
      </c>
      <c r="D192" s="2" t="s">
        <v>4275</v>
      </c>
      <c r="E192" s="2" t="s">
        <v>578</v>
      </c>
      <c r="F192" s="3">
        <v>41976</v>
      </c>
      <c r="G192" s="2" t="str">
        <f>"9780252096792"</f>
        <v>9780252096792</v>
      </c>
      <c r="H192" s="2" t="s">
        <v>14</v>
      </c>
      <c r="I192" s="4">
        <v>43686.675000000003</v>
      </c>
      <c r="J192" s="2" t="s">
        <v>4278</v>
      </c>
    </row>
    <row r="193" spans="1:10" ht="135" x14ac:dyDescent="0.25">
      <c r="A193" s="2" t="s">
        <v>323</v>
      </c>
      <c r="B193" s="2">
        <v>332.6</v>
      </c>
      <c r="C193" s="2" t="s">
        <v>4086</v>
      </c>
      <c r="D193" s="2" t="s">
        <v>4085</v>
      </c>
      <c r="E193" s="2" t="s">
        <v>54</v>
      </c>
      <c r="F193" s="3">
        <v>42955</v>
      </c>
      <c r="G193" s="2" t="str">
        <f>"9781503602755"</f>
        <v>9781503602755</v>
      </c>
      <c r="H193" s="2" t="s">
        <v>14</v>
      </c>
      <c r="I193" s="4">
        <v>43713.844444444447</v>
      </c>
      <c r="J193" s="2" t="s">
        <v>4087</v>
      </c>
    </row>
    <row r="194" spans="1:10" ht="135" x14ac:dyDescent="0.25">
      <c r="A194" s="2" t="s">
        <v>323</v>
      </c>
      <c r="B194" s="2">
        <v>332.60973000000001</v>
      </c>
      <c r="C194" s="2" t="s">
        <v>1503</v>
      </c>
      <c r="D194" s="2" t="s">
        <v>1502</v>
      </c>
      <c r="E194" s="2" t="s">
        <v>50</v>
      </c>
      <c r="F194" s="3">
        <v>43617</v>
      </c>
      <c r="G194" s="2" t="str">
        <f>"9781496215444"</f>
        <v>9781496215444</v>
      </c>
      <c r="H194" s="2" t="s">
        <v>14</v>
      </c>
      <c r="I194" s="4">
        <v>43941.359722222223</v>
      </c>
      <c r="J194" s="2" t="s">
        <v>1504</v>
      </c>
    </row>
    <row r="195" spans="1:10" ht="135" x14ac:dyDescent="0.25">
      <c r="A195" s="2" t="s">
        <v>323</v>
      </c>
      <c r="B195" s="2" t="s">
        <v>10916</v>
      </c>
      <c r="C195" s="2" t="s">
        <v>10917</v>
      </c>
      <c r="D195" s="2" t="s">
        <v>10915</v>
      </c>
      <c r="E195" s="2" t="s">
        <v>156</v>
      </c>
      <c r="F195" s="3">
        <v>42255</v>
      </c>
      <c r="G195" s="2" t="str">
        <f>"9781469622538"</f>
        <v>9781469622538</v>
      </c>
      <c r="H195" s="2" t="s">
        <v>14</v>
      </c>
      <c r="I195" s="4">
        <v>43029.601388888892</v>
      </c>
      <c r="J195" s="2" t="s">
        <v>10918</v>
      </c>
    </row>
    <row r="196" spans="1:10" ht="135" x14ac:dyDescent="0.25">
      <c r="A196" s="2" t="s">
        <v>323</v>
      </c>
      <c r="B196" s="2" t="s">
        <v>8514</v>
      </c>
      <c r="C196" s="2" t="s">
        <v>8515</v>
      </c>
      <c r="D196" s="2" t="s">
        <v>8512</v>
      </c>
      <c r="E196" s="2" t="s">
        <v>8513</v>
      </c>
      <c r="F196" s="3">
        <v>42286</v>
      </c>
      <c r="G196" s="2" t="str">
        <f>"9780262331401"</f>
        <v>9780262331401</v>
      </c>
      <c r="H196" s="2" t="s">
        <v>14</v>
      </c>
      <c r="I196" s="4">
        <v>43297.731249999997</v>
      </c>
      <c r="J196" s="2" t="s">
        <v>8516</v>
      </c>
    </row>
    <row r="197" spans="1:10" ht="135" x14ac:dyDescent="0.25">
      <c r="A197" s="2" t="s">
        <v>323</v>
      </c>
      <c r="B197" s="2">
        <v>331.63680729999999</v>
      </c>
      <c r="C197" s="2" t="s">
        <v>7957</v>
      </c>
      <c r="D197" s="2" t="s">
        <v>7956</v>
      </c>
      <c r="E197" s="2" t="s">
        <v>130</v>
      </c>
      <c r="F197" s="3">
        <v>43158</v>
      </c>
      <c r="G197" s="2" t="str">
        <f>"9781683400509"</f>
        <v>9781683400509</v>
      </c>
      <c r="H197" s="2" t="s">
        <v>14</v>
      </c>
      <c r="I197" s="4">
        <v>43371.543749999997</v>
      </c>
      <c r="J197" s="2" t="s">
        <v>7958</v>
      </c>
    </row>
    <row r="198" spans="1:10" ht="135" x14ac:dyDescent="0.25">
      <c r="A198" s="2" t="s">
        <v>323</v>
      </c>
      <c r="B198" s="2">
        <v>330</v>
      </c>
      <c r="C198" s="2" t="s">
        <v>7588</v>
      </c>
      <c r="D198" s="2" t="s">
        <v>7586</v>
      </c>
      <c r="E198" s="2" t="s">
        <v>7587</v>
      </c>
      <c r="F198" s="3">
        <v>41688</v>
      </c>
      <c r="G198" s="2" t="str">
        <f>"9789048522095"</f>
        <v>9789048522095</v>
      </c>
      <c r="H198" s="2" t="s">
        <v>14</v>
      </c>
      <c r="I198" s="4">
        <v>43406.674305555556</v>
      </c>
      <c r="J198" s="2" t="s">
        <v>7589</v>
      </c>
    </row>
    <row r="199" spans="1:10" ht="135" x14ac:dyDescent="0.25">
      <c r="A199" s="2" t="s">
        <v>323</v>
      </c>
      <c r="B199" s="2">
        <v>330.95600000000002</v>
      </c>
      <c r="C199" s="2" t="s">
        <v>1787</v>
      </c>
      <c r="D199" s="2" t="s">
        <v>1786</v>
      </c>
      <c r="E199" s="2" t="s">
        <v>17</v>
      </c>
      <c r="F199" s="3">
        <v>42382</v>
      </c>
      <c r="G199" s="2" t="str">
        <f>"9781137529770"</f>
        <v>9781137529770</v>
      </c>
      <c r="H199" s="2" t="s">
        <v>14</v>
      </c>
      <c r="I199" s="4">
        <v>43927.418749999997</v>
      </c>
      <c r="J199" s="2" t="s">
        <v>1788</v>
      </c>
    </row>
    <row r="200" spans="1:10" ht="135" x14ac:dyDescent="0.25">
      <c r="A200" s="2" t="s">
        <v>323</v>
      </c>
      <c r="B200" s="2" t="s">
        <v>10036</v>
      </c>
      <c r="C200" s="2" t="s">
        <v>10037</v>
      </c>
      <c r="D200" s="2" t="s">
        <v>10035</v>
      </c>
      <c r="E200" s="2" t="s">
        <v>54</v>
      </c>
      <c r="F200" s="3">
        <v>42249</v>
      </c>
      <c r="G200" s="2" t="str">
        <f>"9780804796026"</f>
        <v>9780804796026</v>
      </c>
      <c r="H200" s="2" t="s">
        <v>14</v>
      </c>
      <c r="I200" s="4">
        <v>43109.517361111109</v>
      </c>
      <c r="J200" s="2" t="s">
        <v>10038</v>
      </c>
    </row>
    <row r="201" spans="1:10" ht="135" x14ac:dyDescent="0.25">
      <c r="A201" s="2" t="s">
        <v>323</v>
      </c>
      <c r="B201" s="2">
        <v>338.99690700000002</v>
      </c>
      <c r="C201" s="2" t="s">
        <v>8789</v>
      </c>
      <c r="D201" s="2" t="s">
        <v>8788</v>
      </c>
      <c r="E201" s="2" t="s">
        <v>284</v>
      </c>
      <c r="F201" s="3">
        <v>42124</v>
      </c>
      <c r="G201" s="2" t="str">
        <f>"9780824854164"</f>
        <v>9780824854164</v>
      </c>
      <c r="H201" s="2" t="s">
        <v>14</v>
      </c>
      <c r="I201" s="4">
        <v>43252.090277777781</v>
      </c>
      <c r="J201" s="2" t="s">
        <v>8790</v>
      </c>
    </row>
    <row r="202" spans="1:10" ht="135" x14ac:dyDescent="0.25">
      <c r="A202" s="2" t="s">
        <v>323</v>
      </c>
      <c r="B202" s="2" t="s">
        <v>324</v>
      </c>
      <c r="C202" s="2" t="s">
        <v>325</v>
      </c>
      <c r="D202" s="2" t="s">
        <v>321</v>
      </c>
      <c r="E202" s="2" t="s">
        <v>322</v>
      </c>
      <c r="F202" s="3">
        <v>42795</v>
      </c>
      <c r="G202" s="2" t="str">
        <f>"9780820350264"</f>
        <v>9780820350264</v>
      </c>
      <c r="H202" s="2" t="s">
        <v>14</v>
      </c>
      <c r="I202" s="4">
        <v>44040.273611111108</v>
      </c>
      <c r="J202" s="2" t="s">
        <v>326</v>
      </c>
    </row>
    <row r="203" spans="1:10" ht="150" x14ac:dyDescent="0.25">
      <c r="A203" s="2" t="s">
        <v>323</v>
      </c>
      <c r="B203" s="2">
        <v>330.12200000000001</v>
      </c>
      <c r="C203" s="2" t="s">
        <v>9094</v>
      </c>
      <c r="D203" s="2" t="s">
        <v>9092</v>
      </c>
      <c r="E203" s="2" t="s">
        <v>9093</v>
      </c>
      <c r="F203" s="3">
        <v>41947</v>
      </c>
      <c r="G203" s="2" t="str">
        <f>"9781594037610"</f>
        <v>9781594037610</v>
      </c>
      <c r="H203" s="2" t="s">
        <v>14</v>
      </c>
      <c r="I203" s="4">
        <v>43219.037499999999</v>
      </c>
      <c r="J203" s="2" t="s">
        <v>9095</v>
      </c>
    </row>
    <row r="204" spans="1:10" ht="135" x14ac:dyDescent="0.25">
      <c r="A204" s="2" t="s">
        <v>323</v>
      </c>
      <c r="B204" s="2">
        <v>330.01900000000001</v>
      </c>
      <c r="C204" s="2" t="s">
        <v>9381</v>
      </c>
      <c r="D204" s="2" t="s">
        <v>9380</v>
      </c>
      <c r="E204" s="2" t="s">
        <v>54</v>
      </c>
      <c r="F204" s="3">
        <v>41724</v>
      </c>
      <c r="G204" s="2" t="str">
        <f>"9780804788892"</f>
        <v>9780804788892</v>
      </c>
      <c r="H204" s="2" t="s">
        <v>14</v>
      </c>
      <c r="I204" s="4">
        <v>43177.806944444441</v>
      </c>
      <c r="J204" s="2" t="s">
        <v>9382</v>
      </c>
    </row>
    <row r="205" spans="1:10" ht="135" x14ac:dyDescent="0.25">
      <c r="A205" s="2" t="s">
        <v>323</v>
      </c>
      <c r="B205" s="2">
        <v>338.9</v>
      </c>
      <c r="C205" s="2" t="s">
        <v>4191</v>
      </c>
      <c r="D205" s="2" t="s">
        <v>4190</v>
      </c>
      <c r="E205" s="2" t="s">
        <v>268</v>
      </c>
      <c r="F205" s="3">
        <v>40120</v>
      </c>
      <c r="G205" s="2" t="str">
        <f>"9780815704195"</f>
        <v>9780815704195</v>
      </c>
      <c r="H205" s="2" t="s">
        <v>14</v>
      </c>
      <c r="I205" s="4">
        <v>43698.277777777781</v>
      </c>
      <c r="J205" s="2" t="s">
        <v>4192</v>
      </c>
    </row>
    <row r="206" spans="1:10" ht="135" x14ac:dyDescent="0.25">
      <c r="A206" s="2" t="s">
        <v>323</v>
      </c>
      <c r="B206" s="2">
        <v>330.96891049999999</v>
      </c>
      <c r="C206" s="2" t="s">
        <v>3488</v>
      </c>
      <c r="D206" s="2" t="s">
        <v>3487</v>
      </c>
      <c r="E206" s="2" t="s">
        <v>212</v>
      </c>
      <c r="F206" s="3">
        <v>43641</v>
      </c>
      <c r="G206" s="2" t="str">
        <f>"9789956550357"</f>
        <v>9789956550357</v>
      </c>
      <c r="H206" s="2" t="s">
        <v>14</v>
      </c>
      <c r="I206" s="4">
        <v>43779.831250000003</v>
      </c>
      <c r="J206" s="2" t="s">
        <v>3489</v>
      </c>
    </row>
    <row r="207" spans="1:10" ht="135" x14ac:dyDescent="0.25">
      <c r="A207" s="2" t="s">
        <v>7333</v>
      </c>
      <c r="B207" s="2">
        <v>333.79097309000002</v>
      </c>
      <c r="C207" s="2" t="s">
        <v>7334</v>
      </c>
      <c r="D207" s="2" t="s">
        <v>7332</v>
      </c>
      <c r="E207" s="2" t="s">
        <v>65</v>
      </c>
      <c r="F207" s="3">
        <v>41732</v>
      </c>
      <c r="G207" s="2" t="str">
        <f>"9780806145648"</f>
        <v>9780806145648</v>
      </c>
      <c r="H207" s="2" t="s">
        <v>14</v>
      </c>
      <c r="I207" s="4">
        <v>43424.854861111111</v>
      </c>
      <c r="J207" s="2" t="s">
        <v>7335</v>
      </c>
    </row>
    <row r="208" spans="1:10" ht="135" x14ac:dyDescent="0.25">
      <c r="A208" s="2" t="s">
        <v>7355</v>
      </c>
      <c r="B208" s="2">
        <v>338.96</v>
      </c>
      <c r="C208" s="2" t="s">
        <v>265</v>
      </c>
      <c r="D208" s="2" t="s">
        <v>7354</v>
      </c>
      <c r="E208" s="2" t="s">
        <v>37</v>
      </c>
      <c r="F208" s="3">
        <v>42719</v>
      </c>
      <c r="G208" s="2" t="str">
        <f>"9783319407364"</f>
        <v>9783319407364</v>
      </c>
      <c r="H208" s="2" t="s">
        <v>14</v>
      </c>
      <c r="I208" s="4">
        <v>43424.371527777781</v>
      </c>
      <c r="J208" s="2" t="s">
        <v>7356</v>
      </c>
    </row>
    <row r="209" spans="1:10" ht="135" x14ac:dyDescent="0.25">
      <c r="A209" s="2" t="s">
        <v>8344</v>
      </c>
      <c r="B209" s="2">
        <v>339.460982</v>
      </c>
      <c r="C209" s="2" t="s">
        <v>8345</v>
      </c>
      <c r="D209" s="2" t="s">
        <v>8343</v>
      </c>
      <c r="E209" s="2" t="s">
        <v>54</v>
      </c>
      <c r="F209" s="3">
        <v>43088</v>
      </c>
      <c r="G209" s="2" t="str">
        <f>"9781503604360"</f>
        <v>9781503604360</v>
      </c>
      <c r="H209" s="2" t="s">
        <v>14</v>
      </c>
      <c r="I209" s="4">
        <v>43318.60833333333</v>
      </c>
      <c r="J209" s="2" t="s">
        <v>8346</v>
      </c>
    </row>
    <row r="210" spans="1:10" ht="135" x14ac:dyDescent="0.25">
      <c r="A210" s="2" t="s">
        <v>6397</v>
      </c>
      <c r="B210" s="2">
        <v>331.88113711</v>
      </c>
      <c r="C210" s="2" t="s">
        <v>6398</v>
      </c>
      <c r="D210" s="2" t="s">
        <v>6396</v>
      </c>
      <c r="E210" s="2" t="s">
        <v>216</v>
      </c>
      <c r="F210" s="3">
        <v>41852</v>
      </c>
      <c r="G210" s="2" t="str">
        <f>"9781438452975"</f>
        <v>9781438452975</v>
      </c>
      <c r="H210" s="2" t="s">
        <v>14</v>
      </c>
      <c r="I210" s="4">
        <v>43520.440972222219</v>
      </c>
      <c r="J210" s="2" t="s">
        <v>6399</v>
      </c>
    </row>
    <row r="211" spans="1:10" ht="165" x14ac:dyDescent="0.25">
      <c r="A211" s="2" t="s">
        <v>6932</v>
      </c>
      <c r="B211" s="2">
        <v>333.72097300000001</v>
      </c>
      <c r="C211" s="2" t="s">
        <v>3796</v>
      </c>
      <c r="D211" s="2" t="s">
        <v>6931</v>
      </c>
      <c r="E211" s="2" t="s">
        <v>856</v>
      </c>
      <c r="F211" s="3">
        <v>41514</v>
      </c>
      <c r="G211" s="2" t="str">
        <f>"9780295804859"</f>
        <v>9780295804859</v>
      </c>
      <c r="H211" s="2" t="s">
        <v>14</v>
      </c>
      <c r="I211" s="4">
        <v>43474.784722222219</v>
      </c>
      <c r="J211" s="2" t="s">
        <v>6933</v>
      </c>
    </row>
    <row r="212" spans="1:10" ht="135" x14ac:dyDescent="0.25">
      <c r="A212" s="2" t="s">
        <v>3167</v>
      </c>
      <c r="B212" s="2">
        <v>333.82095409999999</v>
      </c>
      <c r="C212" s="2" t="s">
        <v>3168</v>
      </c>
      <c r="D212" s="2" t="s">
        <v>3166</v>
      </c>
      <c r="E212" s="2" t="s">
        <v>856</v>
      </c>
      <c r="F212" s="3">
        <v>43556</v>
      </c>
      <c r="G212" s="2" t="str">
        <f>"9780295745022"</f>
        <v>9780295745022</v>
      </c>
      <c r="H212" s="2" t="s">
        <v>14</v>
      </c>
      <c r="I212" s="4">
        <v>43802.668055555558</v>
      </c>
      <c r="J212" s="2" t="s">
        <v>3169</v>
      </c>
    </row>
    <row r="213" spans="1:10" ht="135" x14ac:dyDescent="0.25">
      <c r="A213" s="2" t="s">
        <v>3167</v>
      </c>
      <c r="B213" s="2" t="s">
        <v>11230</v>
      </c>
      <c r="C213" s="2" t="s">
        <v>11231</v>
      </c>
      <c r="D213" s="2" t="s">
        <v>11229</v>
      </c>
      <c r="E213" s="2" t="s">
        <v>69</v>
      </c>
      <c r="F213" s="3">
        <v>42214</v>
      </c>
      <c r="G213" s="2" t="str">
        <f>"9780253015785"</f>
        <v>9780253015785</v>
      </c>
      <c r="H213" s="2" t="s">
        <v>14</v>
      </c>
      <c r="I213" s="4">
        <v>43003.828472222223</v>
      </c>
      <c r="J213" s="2" t="s">
        <v>11232</v>
      </c>
    </row>
    <row r="214" spans="1:10" ht="135" x14ac:dyDescent="0.25">
      <c r="A214" s="2" t="s">
        <v>6517</v>
      </c>
      <c r="B214" s="2">
        <v>333.79093999999998</v>
      </c>
      <c r="C214" s="2" t="s">
        <v>153</v>
      </c>
      <c r="D214" s="2" t="s">
        <v>6516</v>
      </c>
      <c r="E214" s="2" t="s">
        <v>37</v>
      </c>
      <c r="F214" s="3">
        <v>42767</v>
      </c>
      <c r="G214" s="2" t="str">
        <f>"9783319331263"</f>
        <v>9783319331263</v>
      </c>
      <c r="H214" s="2" t="s">
        <v>14</v>
      </c>
      <c r="I214" s="4">
        <v>43510.715277777781</v>
      </c>
      <c r="J214" s="2" t="s">
        <v>6518</v>
      </c>
    </row>
    <row r="215" spans="1:10" ht="135" x14ac:dyDescent="0.25">
      <c r="A215" s="2" t="s">
        <v>1551</v>
      </c>
      <c r="B215" s="2">
        <v>332.63</v>
      </c>
      <c r="C215" s="2" t="s">
        <v>1552</v>
      </c>
      <c r="D215" s="2" t="s">
        <v>1549</v>
      </c>
      <c r="E215" s="2" t="s">
        <v>1550</v>
      </c>
      <c r="F215" s="3">
        <v>41726</v>
      </c>
      <c r="G215" s="2" t="str">
        <f>"9781848221536"</f>
        <v>9781848221536</v>
      </c>
      <c r="H215" s="2" t="s">
        <v>14</v>
      </c>
      <c r="I215" s="4">
        <v>43937.693749999999</v>
      </c>
      <c r="J215" s="2" t="s">
        <v>1553</v>
      </c>
    </row>
    <row r="216" spans="1:10" ht="150" x14ac:dyDescent="0.25">
      <c r="A216" s="2" t="s">
        <v>8069</v>
      </c>
      <c r="B216" s="2">
        <v>331.809410904</v>
      </c>
      <c r="C216" s="2" t="s">
        <v>20</v>
      </c>
      <c r="D216" s="2" t="s">
        <v>8068</v>
      </c>
      <c r="E216" s="2" t="s">
        <v>37</v>
      </c>
      <c r="F216" s="3">
        <v>42720</v>
      </c>
      <c r="G216" s="2" t="str">
        <f>"9783319341620"</f>
        <v>9783319341620</v>
      </c>
      <c r="H216" s="2" t="s">
        <v>14</v>
      </c>
      <c r="I216" s="4">
        <v>43357.455555555556</v>
      </c>
      <c r="J216" s="2" t="s">
        <v>8070</v>
      </c>
    </row>
    <row r="217" spans="1:10" ht="165" x14ac:dyDescent="0.25">
      <c r="A217" s="2" t="s">
        <v>4709</v>
      </c>
      <c r="D217" s="2" t="s">
        <v>4708</v>
      </c>
      <c r="E217" s="2" t="s">
        <v>54</v>
      </c>
      <c r="F217" s="3">
        <v>43312</v>
      </c>
      <c r="G217" s="2" t="str">
        <f>"9781503605985"</f>
        <v>9781503605985</v>
      </c>
      <c r="H217" s="2" t="s">
        <v>14</v>
      </c>
      <c r="I217" s="4">
        <v>43635.541666666664</v>
      </c>
      <c r="J217" s="2" t="s">
        <v>4710</v>
      </c>
    </row>
    <row r="218" spans="1:10" ht="150" x14ac:dyDescent="0.25">
      <c r="A218" s="2" t="s">
        <v>5305</v>
      </c>
      <c r="B218" s="2" t="s">
        <v>5306</v>
      </c>
      <c r="C218" s="2" t="s">
        <v>5307</v>
      </c>
      <c r="D218" s="2" t="s">
        <v>5303</v>
      </c>
      <c r="E218" s="2" t="s">
        <v>5304</v>
      </c>
      <c r="F218" s="3">
        <v>42705</v>
      </c>
      <c r="G218" s="2" t="str">
        <f>"9780870718687"</f>
        <v>9780870718687</v>
      </c>
      <c r="H218" s="2" t="s">
        <v>14</v>
      </c>
      <c r="I218" s="4">
        <v>43605.93472222222</v>
      </c>
      <c r="J218" s="2" t="s">
        <v>5308</v>
      </c>
    </row>
    <row r="219" spans="1:10" ht="135" x14ac:dyDescent="0.25">
      <c r="A219" s="2" t="s">
        <v>4360</v>
      </c>
      <c r="B219" s="2">
        <v>335.4</v>
      </c>
      <c r="C219" s="2" t="s">
        <v>9980</v>
      </c>
      <c r="D219" s="2" t="s">
        <v>9979</v>
      </c>
      <c r="E219" s="2" t="s">
        <v>73</v>
      </c>
      <c r="F219" s="3">
        <v>42078</v>
      </c>
      <c r="G219" s="2" t="str">
        <f>"9781937561895"</f>
        <v>9781937561895</v>
      </c>
      <c r="H219" s="2" t="s">
        <v>14</v>
      </c>
      <c r="I219" s="4">
        <v>43114.863888888889</v>
      </c>
      <c r="J219" s="2" t="s">
        <v>9981</v>
      </c>
    </row>
    <row r="220" spans="1:10" ht="135" x14ac:dyDescent="0.25">
      <c r="A220" s="2" t="s">
        <v>4360</v>
      </c>
      <c r="B220" s="2">
        <v>335.4</v>
      </c>
      <c r="C220" s="2" t="s">
        <v>9783</v>
      </c>
      <c r="D220" s="2" t="s">
        <v>9782</v>
      </c>
      <c r="E220" s="2" t="s">
        <v>328</v>
      </c>
      <c r="F220" s="3">
        <v>38384</v>
      </c>
      <c r="G220" s="2" t="str">
        <f>"9780739156865"</f>
        <v>9780739156865</v>
      </c>
      <c r="H220" s="2" t="s">
        <v>14</v>
      </c>
      <c r="I220" s="4">
        <v>43130.776388888888</v>
      </c>
      <c r="J220" s="2" t="s">
        <v>9784</v>
      </c>
    </row>
    <row r="221" spans="1:10" ht="135" x14ac:dyDescent="0.25">
      <c r="A221" s="2" t="s">
        <v>4360</v>
      </c>
      <c r="B221" s="2" t="s">
        <v>4361</v>
      </c>
      <c r="C221" s="2" t="s">
        <v>4362</v>
      </c>
      <c r="D221" s="2" t="s">
        <v>4359</v>
      </c>
      <c r="E221" s="2" t="s">
        <v>578</v>
      </c>
      <c r="F221" s="3">
        <v>42898</v>
      </c>
      <c r="G221" s="2" t="str">
        <f>"9780252099595"</f>
        <v>9780252099595</v>
      </c>
      <c r="H221" s="2" t="s">
        <v>14</v>
      </c>
      <c r="I221" s="4">
        <v>43677.430555555555</v>
      </c>
      <c r="J221" s="2" t="s">
        <v>4363</v>
      </c>
    </row>
    <row r="222" spans="1:10" ht="135" x14ac:dyDescent="0.25">
      <c r="A222" s="2" t="s">
        <v>1096</v>
      </c>
      <c r="B222" s="2">
        <v>333.79093999999998</v>
      </c>
      <c r="C222" s="2" t="s">
        <v>153</v>
      </c>
      <c r="D222" s="2" t="s">
        <v>1095</v>
      </c>
      <c r="E222" s="2" t="s">
        <v>37</v>
      </c>
      <c r="F222" s="3">
        <v>43041</v>
      </c>
      <c r="G222" s="2" t="str">
        <f>"9783319649641"</f>
        <v>9783319649641</v>
      </c>
      <c r="H222" s="2" t="s">
        <v>14</v>
      </c>
      <c r="I222" s="4">
        <v>43963.612500000003</v>
      </c>
      <c r="J222" s="2" t="s">
        <v>1097</v>
      </c>
    </row>
    <row r="223" spans="1:10" ht="165" x14ac:dyDescent="0.25">
      <c r="A223" s="2" t="s">
        <v>597</v>
      </c>
      <c r="B223" s="2">
        <v>370.11500000000001</v>
      </c>
      <c r="C223" s="2" t="s">
        <v>11011</v>
      </c>
      <c r="D223" s="2" t="s">
        <v>11010</v>
      </c>
      <c r="E223" s="2" t="s">
        <v>216</v>
      </c>
      <c r="F223" s="3">
        <v>42705</v>
      </c>
      <c r="G223" s="2" t="str">
        <f>"9781438463070"</f>
        <v>9781438463070</v>
      </c>
      <c r="H223" s="2" t="s">
        <v>14</v>
      </c>
      <c r="I223" s="4">
        <v>43023.550694444442</v>
      </c>
      <c r="J223" s="2" t="s">
        <v>11012</v>
      </c>
    </row>
    <row r="224" spans="1:10" ht="135" x14ac:dyDescent="0.25">
      <c r="A224" s="2" t="s">
        <v>597</v>
      </c>
      <c r="B224" s="2">
        <v>370.96800000000002</v>
      </c>
      <c r="C224" s="2" t="s">
        <v>4325</v>
      </c>
      <c r="D224" s="2" t="s">
        <v>4324</v>
      </c>
      <c r="E224" s="2" t="s">
        <v>28</v>
      </c>
      <c r="F224" s="3">
        <v>41809</v>
      </c>
      <c r="G224" s="2" t="str">
        <f>"9780813936093"</f>
        <v>9780813936093</v>
      </c>
      <c r="H224" s="2" t="s">
        <v>14</v>
      </c>
      <c r="I224" s="4">
        <v>43682.481249999997</v>
      </c>
      <c r="J224" s="2" t="s">
        <v>4326</v>
      </c>
    </row>
    <row r="225" spans="1:10" ht="135" x14ac:dyDescent="0.25">
      <c r="A225" s="2" t="s">
        <v>597</v>
      </c>
      <c r="B225" s="2">
        <v>370.96710999999999</v>
      </c>
      <c r="C225" s="2" t="s">
        <v>3086</v>
      </c>
      <c r="D225" s="2" t="s">
        <v>3084</v>
      </c>
      <c r="E225" s="2" t="s">
        <v>3085</v>
      </c>
      <c r="F225" s="3">
        <v>43236</v>
      </c>
      <c r="G225" s="2" t="str">
        <f>"9781942876403"</f>
        <v>9781942876403</v>
      </c>
      <c r="H225" s="2" t="s">
        <v>14</v>
      </c>
      <c r="I225" s="4">
        <v>43814.84097222222</v>
      </c>
      <c r="J225" s="2" t="s">
        <v>3087</v>
      </c>
    </row>
    <row r="226" spans="1:10" ht="135" x14ac:dyDescent="0.25">
      <c r="A226" s="2" t="s">
        <v>597</v>
      </c>
      <c r="B226" s="2">
        <v>370.95100000000002</v>
      </c>
      <c r="C226" s="2" t="s">
        <v>9406</v>
      </c>
      <c r="D226" s="2" t="s">
        <v>9405</v>
      </c>
      <c r="E226" s="2" t="s">
        <v>216</v>
      </c>
      <c r="F226" s="3">
        <v>42461</v>
      </c>
      <c r="G226" s="2" t="str">
        <f>"9781438459721"</f>
        <v>9781438459721</v>
      </c>
      <c r="H226" s="2" t="s">
        <v>14</v>
      </c>
      <c r="I226" s="4">
        <v>43173.771527777775</v>
      </c>
      <c r="J226" s="2" t="s">
        <v>9407</v>
      </c>
    </row>
    <row r="227" spans="1:10" ht="135" x14ac:dyDescent="0.25">
      <c r="A227" s="2" t="s">
        <v>597</v>
      </c>
      <c r="B227" s="2">
        <v>370.96600000000001</v>
      </c>
      <c r="C227" s="2" t="s">
        <v>5190</v>
      </c>
      <c r="D227" s="2" t="s">
        <v>5189</v>
      </c>
      <c r="E227" s="2" t="s">
        <v>46</v>
      </c>
      <c r="F227" s="3">
        <v>42979</v>
      </c>
      <c r="G227" s="2" t="str">
        <f>"9781496202345"</f>
        <v>9781496202345</v>
      </c>
      <c r="H227" s="2" t="s">
        <v>14</v>
      </c>
      <c r="I227" s="4">
        <v>43608.911805555559</v>
      </c>
      <c r="J227" s="2" t="s">
        <v>5191</v>
      </c>
    </row>
    <row r="228" spans="1:10" ht="135" x14ac:dyDescent="0.25">
      <c r="A228" s="2" t="s">
        <v>597</v>
      </c>
      <c r="C228" s="2" t="s">
        <v>86</v>
      </c>
      <c r="D228" s="2" t="s">
        <v>12883</v>
      </c>
      <c r="E228" s="2" t="s">
        <v>12467</v>
      </c>
      <c r="F228" s="3">
        <v>41275</v>
      </c>
      <c r="G228" s="2" t="str">
        <f>"9789462093980"</f>
        <v>9789462093980</v>
      </c>
      <c r="H228" s="2" t="s">
        <v>12884</v>
      </c>
      <c r="I228" s="4">
        <v>42762.705555555556</v>
      </c>
      <c r="J228" s="2" t="s">
        <v>12885</v>
      </c>
    </row>
    <row r="229" spans="1:10" ht="165" x14ac:dyDescent="0.25">
      <c r="A229" s="2" t="s">
        <v>597</v>
      </c>
      <c r="B229" s="2">
        <v>372.18290000000002</v>
      </c>
      <c r="C229" s="2" t="s">
        <v>4890</v>
      </c>
      <c r="D229" s="2" t="s">
        <v>4889</v>
      </c>
      <c r="E229" s="2" t="s">
        <v>212</v>
      </c>
      <c r="F229" s="3">
        <v>43366</v>
      </c>
      <c r="G229" s="2" t="str">
        <f>"9789956550876"</f>
        <v>9789956550876</v>
      </c>
      <c r="H229" s="2" t="s">
        <v>14</v>
      </c>
      <c r="I229" s="4">
        <v>43619.055555555555</v>
      </c>
      <c r="J229" s="2" t="s">
        <v>4891</v>
      </c>
    </row>
    <row r="230" spans="1:10" ht="210" x14ac:dyDescent="0.25">
      <c r="A230" s="2" t="s">
        <v>597</v>
      </c>
      <c r="B230" s="2">
        <v>373.66699999999997</v>
      </c>
      <c r="C230" s="2" t="s">
        <v>4887</v>
      </c>
      <c r="D230" s="2" t="s">
        <v>4886</v>
      </c>
      <c r="E230" s="2" t="s">
        <v>212</v>
      </c>
      <c r="F230" s="3">
        <v>43202</v>
      </c>
      <c r="G230" s="2" t="str">
        <f>"9789956550609"</f>
        <v>9789956550609</v>
      </c>
      <c r="H230" s="2" t="s">
        <v>14</v>
      </c>
      <c r="I230" s="4">
        <v>43619.058333333334</v>
      </c>
      <c r="J230" s="2" t="s">
        <v>4888</v>
      </c>
    </row>
    <row r="231" spans="1:10" ht="135" x14ac:dyDescent="0.25">
      <c r="A231" s="2" t="s">
        <v>597</v>
      </c>
      <c r="B231" s="2" t="s">
        <v>4789</v>
      </c>
      <c r="C231" s="2" t="s">
        <v>4790</v>
      </c>
      <c r="D231" s="2" t="s">
        <v>4788</v>
      </c>
      <c r="E231" s="2" t="s">
        <v>2747</v>
      </c>
      <c r="F231" s="3">
        <v>42125</v>
      </c>
      <c r="G231" s="2" t="str">
        <f>"9781453915295"</f>
        <v>9781453915295</v>
      </c>
      <c r="H231" s="2" t="s">
        <v>14</v>
      </c>
      <c r="I231" s="4">
        <v>43625.565972222219</v>
      </c>
      <c r="J231" s="2" t="s">
        <v>4791</v>
      </c>
    </row>
    <row r="232" spans="1:10" ht="135" x14ac:dyDescent="0.25">
      <c r="A232" s="2" t="s">
        <v>597</v>
      </c>
      <c r="B232" s="2" t="s">
        <v>4250</v>
      </c>
      <c r="C232" s="2" t="s">
        <v>4251</v>
      </c>
      <c r="D232" s="2" t="s">
        <v>4249</v>
      </c>
      <c r="E232" s="2" t="s">
        <v>121</v>
      </c>
      <c r="F232" s="3">
        <v>42948</v>
      </c>
      <c r="G232" s="2" t="str">
        <f>"9781609175429"</f>
        <v>9781609175429</v>
      </c>
      <c r="H232" s="2" t="s">
        <v>14</v>
      </c>
      <c r="I232" s="4">
        <v>43689.756944444445</v>
      </c>
      <c r="J232" s="2" t="s">
        <v>4252</v>
      </c>
    </row>
    <row r="233" spans="1:10" ht="135" x14ac:dyDescent="0.25">
      <c r="A233" s="2" t="s">
        <v>597</v>
      </c>
      <c r="B233" s="2" t="s">
        <v>7887</v>
      </c>
      <c r="C233" s="2" t="s">
        <v>7888</v>
      </c>
      <c r="D233" s="2" t="s">
        <v>7886</v>
      </c>
      <c r="E233" s="2" t="s">
        <v>69</v>
      </c>
      <c r="F233" s="3">
        <v>42415</v>
      </c>
      <c r="G233" s="2" t="str">
        <f>"9780253018861"</f>
        <v>9780253018861</v>
      </c>
      <c r="H233" s="2" t="s">
        <v>14</v>
      </c>
      <c r="I233" s="4">
        <v>43381.460416666669</v>
      </c>
      <c r="J233" s="2" t="s">
        <v>7889</v>
      </c>
    </row>
    <row r="234" spans="1:10" ht="135" x14ac:dyDescent="0.25">
      <c r="A234" s="2" t="s">
        <v>597</v>
      </c>
      <c r="B234" s="2">
        <v>378.19809509999999</v>
      </c>
      <c r="C234" s="2" t="s">
        <v>9229</v>
      </c>
      <c r="D234" s="2" t="s">
        <v>9228</v>
      </c>
      <c r="E234" s="2" t="s">
        <v>54</v>
      </c>
      <c r="F234" s="3">
        <v>42438</v>
      </c>
      <c r="G234" s="2" t="str">
        <f>"9780804797795"</f>
        <v>9780804797795</v>
      </c>
      <c r="H234" s="2" t="s">
        <v>14</v>
      </c>
      <c r="I234" s="4">
        <v>43198.787499999999</v>
      </c>
      <c r="J234" s="2" t="s">
        <v>9230</v>
      </c>
    </row>
    <row r="235" spans="1:10" ht="135" x14ac:dyDescent="0.25">
      <c r="A235" s="2" t="s">
        <v>597</v>
      </c>
      <c r="B235" s="2" t="s">
        <v>2168</v>
      </c>
      <c r="C235" s="2" t="s">
        <v>2169</v>
      </c>
      <c r="D235" s="2" t="s">
        <v>2167</v>
      </c>
      <c r="E235" s="2" t="s">
        <v>466</v>
      </c>
      <c r="F235" s="3">
        <v>43535</v>
      </c>
      <c r="G235" s="2" t="str">
        <f>"9781789140927"</f>
        <v>9781789140927</v>
      </c>
      <c r="H235" s="2" t="s">
        <v>14</v>
      </c>
      <c r="I235" s="4">
        <v>43907.683333333334</v>
      </c>
      <c r="J235" s="2" t="s">
        <v>2170</v>
      </c>
    </row>
    <row r="236" spans="1:10" ht="135" x14ac:dyDescent="0.25">
      <c r="A236" s="2" t="s">
        <v>597</v>
      </c>
      <c r="B236" s="2" t="s">
        <v>5546</v>
      </c>
      <c r="C236" s="2" t="s">
        <v>5547</v>
      </c>
      <c r="D236" s="2" t="s">
        <v>5545</v>
      </c>
      <c r="E236" s="2" t="s">
        <v>2747</v>
      </c>
      <c r="F236" s="3">
        <v>42300</v>
      </c>
      <c r="G236" s="2" t="str">
        <f>"9781453917060"</f>
        <v>9781453917060</v>
      </c>
      <c r="H236" s="2" t="s">
        <v>14</v>
      </c>
      <c r="I236" s="4">
        <v>43591.544444444444</v>
      </c>
      <c r="J236" s="2" t="s">
        <v>5548</v>
      </c>
    </row>
    <row r="237" spans="1:10" ht="135" x14ac:dyDescent="0.25">
      <c r="A237" s="2" t="s">
        <v>597</v>
      </c>
      <c r="B237" s="2">
        <v>378.19855097300001</v>
      </c>
      <c r="C237" s="2" t="s">
        <v>2730</v>
      </c>
      <c r="D237" s="2" t="s">
        <v>2729</v>
      </c>
      <c r="E237" s="2" t="s">
        <v>69</v>
      </c>
      <c r="F237" s="3">
        <v>43160</v>
      </c>
      <c r="G237" s="2" t="str">
        <f>"9780253030252"</f>
        <v>9780253030252</v>
      </c>
      <c r="H237" s="2" t="s">
        <v>14</v>
      </c>
      <c r="I237" s="4">
        <v>43860.925694444442</v>
      </c>
      <c r="J237" s="2" t="s">
        <v>2731</v>
      </c>
    </row>
    <row r="238" spans="1:10" ht="135" x14ac:dyDescent="0.25">
      <c r="A238" s="2" t="s">
        <v>597</v>
      </c>
      <c r="B238" s="2">
        <v>378.51</v>
      </c>
      <c r="C238" s="2" t="s">
        <v>86</v>
      </c>
      <c r="D238" s="2" t="s">
        <v>9899</v>
      </c>
      <c r="E238" s="2" t="s">
        <v>152</v>
      </c>
      <c r="F238" s="3">
        <v>42660</v>
      </c>
      <c r="G238" s="2" t="str">
        <f>"9789811015885"</f>
        <v>9789811015885</v>
      </c>
      <c r="H238" s="2" t="s">
        <v>14</v>
      </c>
      <c r="I238" s="4">
        <v>43122.432638888888</v>
      </c>
      <c r="J238" s="2" t="s">
        <v>9900</v>
      </c>
    </row>
    <row r="239" spans="1:10" ht="165" x14ac:dyDescent="0.25">
      <c r="A239" s="2" t="s">
        <v>597</v>
      </c>
      <c r="B239" s="2">
        <v>370.95113199999997</v>
      </c>
      <c r="C239" s="2" t="s">
        <v>756</v>
      </c>
      <c r="D239" s="2" t="s">
        <v>754</v>
      </c>
      <c r="E239" s="2" t="s">
        <v>755</v>
      </c>
      <c r="F239" s="3">
        <v>42486</v>
      </c>
      <c r="G239" s="2" t="str">
        <f>"9781464807916"</f>
        <v>9781464807916</v>
      </c>
      <c r="H239" s="2" t="s">
        <v>14</v>
      </c>
      <c r="I239" s="4">
        <v>43992.517361111109</v>
      </c>
      <c r="J239" s="2" t="s">
        <v>757</v>
      </c>
    </row>
    <row r="240" spans="1:10" ht="150" x14ac:dyDescent="0.25">
      <c r="A240" s="2" t="s">
        <v>597</v>
      </c>
      <c r="B240" s="2" t="s">
        <v>11117</v>
      </c>
      <c r="C240" s="2" t="s">
        <v>11118</v>
      </c>
      <c r="D240" s="2" t="s">
        <v>11116</v>
      </c>
      <c r="E240" s="2" t="s">
        <v>54</v>
      </c>
      <c r="F240" s="3">
        <v>40149</v>
      </c>
      <c r="G240" s="2" t="str">
        <f>"9780804773386"</f>
        <v>9780804773386</v>
      </c>
      <c r="H240" s="2" t="s">
        <v>14</v>
      </c>
      <c r="I240" s="4">
        <v>43017.458333333336</v>
      </c>
      <c r="J240" s="2" t="s">
        <v>11119</v>
      </c>
    </row>
    <row r="241" spans="1:10" ht="255" x14ac:dyDescent="0.25">
      <c r="A241" s="2" t="s">
        <v>597</v>
      </c>
      <c r="B241" s="2">
        <v>371.26</v>
      </c>
      <c r="C241" s="2" t="s">
        <v>12408</v>
      </c>
      <c r="D241" s="2" t="s">
        <v>12407</v>
      </c>
      <c r="E241" s="2" t="s">
        <v>80</v>
      </c>
      <c r="F241" s="3">
        <v>42244</v>
      </c>
      <c r="G241" s="2" t="str">
        <f>"9783653048445"</f>
        <v>9783653048445</v>
      </c>
      <c r="H241" s="2" t="s">
        <v>14</v>
      </c>
      <c r="I241" s="4">
        <v>42809.472222222219</v>
      </c>
      <c r="J241" s="2" t="s">
        <v>12409</v>
      </c>
    </row>
    <row r="242" spans="1:10" ht="135" x14ac:dyDescent="0.25">
      <c r="A242" s="2" t="s">
        <v>597</v>
      </c>
      <c r="B242" s="2">
        <v>370.19600000000003</v>
      </c>
      <c r="C242" s="2" t="s">
        <v>86</v>
      </c>
      <c r="D242" s="2" t="s">
        <v>7055</v>
      </c>
      <c r="E242" s="2" t="s">
        <v>37</v>
      </c>
      <c r="F242" s="3">
        <v>42989</v>
      </c>
      <c r="G242" s="2" t="str">
        <f>"9783319603810"</f>
        <v>9783319603810</v>
      </c>
      <c r="H242" s="2" t="s">
        <v>14</v>
      </c>
      <c r="I242" s="4">
        <v>43454.472916666666</v>
      </c>
      <c r="J242" s="2" t="s">
        <v>7056</v>
      </c>
    </row>
    <row r="243" spans="1:10" ht="165" x14ac:dyDescent="0.25">
      <c r="A243" s="2" t="s">
        <v>597</v>
      </c>
      <c r="B243" s="2" t="s">
        <v>9258</v>
      </c>
      <c r="C243" s="2" t="s">
        <v>9259</v>
      </c>
      <c r="D243" s="2" t="s">
        <v>9257</v>
      </c>
      <c r="E243" s="2" t="s">
        <v>2747</v>
      </c>
      <c r="F243" s="3">
        <v>42205</v>
      </c>
      <c r="G243" s="2" t="str">
        <f>"9781453915912"</f>
        <v>9781453915912</v>
      </c>
      <c r="H243" s="2" t="s">
        <v>14</v>
      </c>
      <c r="I243" s="4">
        <v>43194.645138888889</v>
      </c>
      <c r="J243" s="2" t="s">
        <v>9260</v>
      </c>
    </row>
    <row r="244" spans="1:10" ht="135" x14ac:dyDescent="0.25">
      <c r="A244" s="2" t="s">
        <v>597</v>
      </c>
      <c r="B244" s="2">
        <v>379.6409051</v>
      </c>
      <c r="C244" s="2" t="s">
        <v>9622</v>
      </c>
      <c r="D244" s="2" t="s">
        <v>9621</v>
      </c>
      <c r="E244" s="2" t="s">
        <v>69</v>
      </c>
      <c r="F244" s="3">
        <v>42478</v>
      </c>
      <c r="G244" s="2" t="str">
        <f>"9780253020505"</f>
        <v>9780253020505</v>
      </c>
      <c r="H244" s="2" t="s">
        <v>14</v>
      </c>
      <c r="I244" s="4">
        <v>43145.508333333331</v>
      </c>
      <c r="J244" s="2" t="s">
        <v>9623</v>
      </c>
    </row>
    <row r="245" spans="1:10" ht="135" x14ac:dyDescent="0.25">
      <c r="A245" s="2" t="s">
        <v>597</v>
      </c>
      <c r="B245" s="2">
        <v>370.1</v>
      </c>
      <c r="C245" s="2" t="s">
        <v>8257</v>
      </c>
      <c r="D245" s="2" t="s">
        <v>8255</v>
      </c>
      <c r="E245" s="2" t="s">
        <v>8256</v>
      </c>
      <c r="F245" s="3">
        <v>41372</v>
      </c>
      <c r="G245" s="2" t="str">
        <f>"9781475804409"</f>
        <v>9781475804409</v>
      </c>
      <c r="H245" s="2" t="s">
        <v>14</v>
      </c>
      <c r="I245" s="4">
        <v>43329.852083333331</v>
      </c>
      <c r="J245" s="2" t="s">
        <v>8258</v>
      </c>
    </row>
    <row r="246" spans="1:10" ht="165" x14ac:dyDescent="0.25">
      <c r="A246" s="2" t="s">
        <v>597</v>
      </c>
      <c r="B246" s="2">
        <v>371.1</v>
      </c>
      <c r="C246" s="2" t="s">
        <v>9925</v>
      </c>
      <c r="D246" s="2" t="s">
        <v>9924</v>
      </c>
      <c r="E246" s="2" t="s">
        <v>80</v>
      </c>
      <c r="F246" s="3">
        <v>42580</v>
      </c>
      <c r="G246" s="2" t="str">
        <f>"9783035308358"</f>
        <v>9783035308358</v>
      </c>
      <c r="H246" s="2" t="s">
        <v>14</v>
      </c>
      <c r="I246" s="4">
        <v>43119.594444444447</v>
      </c>
      <c r="J246" s="2" t="s">
        <v>9926</v>
      </c>
    </row>
    <row r="247" spans="1:10" ht="135" x14ac:dyDescent="0.25">
      <c r="A247" s="2" t="s">
        <v>597</v>
      </c>
      <c r="B247" s="2">
        <v>371.10199999999998</v>
      </c>
      <c r="C247" s="2" t="s">
        <v>9103</v>
      </c>
      <c r="D247" s="2" t="s">
        <v>9102</v>
      </c>
      <c r="E247" s="2" t="s">
        <v>216</v>
      </c>
      <c r="F247" s="3">
        <v>42309</v>
      </c>
      <c r="G247" s="2" t="str">
        <f>"9781438458335"</f>
        <v>9781438458335</v>
      </c>
      <c r="H247" s="2" t="s">
        <v>14</v>
      </c>
      <c r="I247" s="4">
        <v>43218.634027777778</v>
      </c>
      <c r="J247" s="2" t="s">
        <v>9104</v>
      </c>
    </row>
    <row r="248" spans="1:10" ht="135" x14ac:dyDescent="0.25">
      <c r="A248" s="2" t="s">
        <v>597</v>
      </c>
      <c r="B248" s="2">
        <v>379.15609560000001</v>
      </c>
      <c r="C248" s="2" t="s">
        <v>86</v>
      </c>
      <c r="D248" s="2" t="s">
        <v>1207</v>
      </c>
      <c r="E248" s="2" t="s">
        <v>37</v>
      </c>
      <c r="F248" s="3">
        <v>43138</v>
      </c>
      <c r="G248" s="2" t="str">
        <f>"9783319622446"</f>
        <v>9783319622446</v>
      </c>
      <c r="H248" s="2" t="s">
        <v>14</v>
      </c>
      <c r="I248" s="4">
        <v>43956.495138888888</v>
      </c>
      <c r="J248" s="2" t="s">
        <v>1208</v>
      </c>
    </row>
    <row r="249" spans="1:10" ht="135" x14ac:dyDescent="0.25">
      <c r="A249" s="2" t="s">
        <v>597</v>
      </c>
      <c r="B249" s="2" t="s">
        <v>4489</v>
      </c>
      <c r="C249" s="2" t="s">
        <v>4490</v>
      </c>
      <c r="D249" s="2" t="s">
        <v>4488</v>
      </c>
      <c r="E249" s="2" t="s">
        <v>46</v>
      </c>
      <c r="F249" s="3">
        <v>43282</v>
      </c>
      <c r="G249" s="2" t="str">
        <f>"9781496207203"</f>
        <v>9781496207203</v>
      </c>
      <c r="H249" s="2" t="s">
        <v>14</v>
      </c>
      <c r="I249" s="4">
        <v>43660.8125</v>
      </c>
      <c r="J249" s="2" t="s">
        <v>4491</v>
      </c>
    </row>
    <row r="250" spans="1:10" ht="195" x14ac:dyDescent="0.25">
      <c r="A250" s="2" t="s">
        <v>597</v>
      </c>
      <c r="B250" s="2">
        <v>371.9</v>
      </c>
      <c r="C250" s="2" t="s">
        <v>10023</v>
      </c>
      <c r="D250" s="2" t="s">
        <v>10021</v>
      </c>
      <c r="E250" s="2" t="s">
        <v>10022</v>
      </c>
      <c r="F250" s="3">
        <v>41194</v>
      </c>
      <c r="G250" s="2" t="str">
        <f>"9781416615415"</f>
        <v>9781416615415</v>
      </c>
      <c r="H250" s="2" t="s">
        <v>14</v>
      </c>
      <c r="I250" s="4">
        <v>43110.863194444442</v>
      </c>
      <c r="J250" s="2" t="s">
        <v>10024</v>
      </c>
    </row>
    <row r="251" spans="1:10" ht="135" x14ac:dyDescent="0.25">
      <c r="A251" s="2" t="s">
        <v>597</v>
      </c>
      <c r="B251" s="2">
        <v>372.21094799999997</v>
      </c>
      <c r="C251" s="2" t="s">
        <v>86</v>
      </c>
      <c r="D251" s="2" t="s">
        <v>1114</v>
      </c>
      <c r="E251" s="2" t="s">
        <v>37</v>
      </c>
      <c r="F251" s="3">
        <v>42671</v>
      </c>
      <c r="G251" s="2" t="str">
        <f>"9783319425573"</f>
        <v>9783319425573</v>
      </c>
      <c r="H251" s="2" t="s">
        <v>14</v>
      </c>
      <c r="I251" s="4">
        <v>43962.636805555558</v>
      </c>
      <c r="J251" s="2" t="s">
        <v>1115</v>
      </c>
    </row>
    <row r="252" spans="1:10" ht="135" x14ac:dyDescent="0.25">
      <c r="A252" s="2" t="s">
        <v>597</v>
      </c>
      <c r="B252" s="2" t="s">
        <v>8272</v>
      </c>
      <c r="C252" s="2" t="s">
        <v>8273</v>
      </c>
      <c r="D252" s="2" t="s">
        <v>8271</v>
      </c>
      <c r="E252" s="2" t="s">
        <v>526</v>
      </c>
      <c r="F252" s="3">
        <v>43222</v>
      </c>
      <c r="G252" s="2" t="str">
        <f>"9781477315194"</f>
        <v>9781477315194</v>
      </c>
      <c r="H252" s="2" t="s">
        <v>14</v>
      </c>
      <c r="I252" s="4">
        <v>43327.591666666667</v>
      </c>
      <c r="J252" s="2" t="s">
        <v>8274</v>
      </c>
    </row>
    <row r="253" spans="1:10" ht="135" x14ac:dyDescent="0.25">
      <c r="A253" s="2" t="s">
        <v>597</v>
      </c>
      <c r="B253" s="2">
        <v>371.82209540000002</v>
      </c>
      <c r="C253" s="2" t="s">
        <v>1137</v>
      </c>
      <c r="D253" s="2" t="s">
        <v>1136</v>
      </c>
      <c r="E253" s="2" t="s">
        <v>268</v>
      </c>
      <c r="F253" s="3">
        <v>42990</v>
      </c>
      <c r="G253" s="2" t="str">
        <f>"9780815730392"</f>
        <v>9780815730392</v>
      </c>
      <c r="H253" s="2" t="s">
        <v>14</v>
      </c>
      <c r="I253" s="4">
        <v>43960.445833333331</v>
      </c>
      <c r="J253" s="2" t="s">
        <v>1138</v>
      </c>
    </row>
    <row r="254" spans="1:10" ht="135" x14ac:dyDescent="0.25">
      <c r="A254" s="2" t="s">
        <v>597</v>
      </c>
      <c r="B254" s="2">
        <v>378.73</v>
      </c>
      <c r="C254" s="2" t="s">
        <v>9063</v>
      </c>
      <c r="D254" s="2" t="s">
        <v>9062</v>
      </c>
      <c r="E254" s="2" t="s">
        <v>54</v>
      </c>
      <c r="F254" s="3">
        <v>42011</v>
      </c>
      <c r="G254" s="2" t="str">
        <f>"9780804793551"</f>
        <v>9780804793551</v>
      </c>
      <c r="H254" s="2" t="s">
        <v>14</v>
      </c>
      <c r="I254" s="4">
        <v>43220.718055555553</v>
      </c>
      <c r="J254" s="2" t="s">
        <v>9064</v>
      </c>
    </row>
    <row r="255" spans="1:10" ht="135" x14ac:dyDescent="0.25">
      <c r="A255" s="2" t="s">
        <v>597</v>
      </c>
      <c r="B255" s="2" t="s">
        <v>3316</v>
      </c>
      <c r="C255" s="2" t="s">
        <v>3317</v>
      </c>
      <c r="D255" s="2" t="s">
        <v>3314</v>
      </c>
      <c r="E255" s="2" t="s">
        <v>3315</v>
      </c>
      <c r="F255" s="3">
        <v>41791</v>
      </c>
      <c r="G255" s="2" t="str">
        <f>"9781623966782"</f>
        <v>9781623966782</v>
      </c>
      <c r="H255" s="2" t="s">
        <v>14</v>
      </c>
      <c r="I255" s="4">
        <v>43790.665277777778</v>
      </c>
      <c r="J255" s="2" t="s">
        <v>3318</v>
      </c>
    </row>
    <row r="256" spans="1:10" ht="135" x14ac:dyDescent="0.25">
      <c r="A256" s="2" t="s">
        <v>597</v>
      </c>
      <c r="B256" s="2" t="s">
        <v>5542</v>
      </c>
      <c r="C256" s="2" t="s">
        <v>5543</v>
      </c>
      <c r="D256" s="2" t="s">
        <v>5541</v>
      </c>
      <c r="E256" s="2" t="s">
        <v>80</v>
      </c>
      <c r="F256" s="3">
        <v>42676</v>
      </c>
      <c r="G256" s="2" t="str">
        <f>"9783653069761"</f>
        <v>9783653069761</v>
      </c>
      <c r="H256" s="2" t="s">
        <v>14</v>
      </c>
      <c r="I256" s="4">
        <v>43591.662499999999</v>
      </c>
      <c r="J256" s="2" t="s">
        <v>5544</v>
      </c>
    </row>
    <row r="257" spans="1:10" ht="135" x14ac:dyDescent="0.25">
      <c r="A257" s="2" t="s">
        <v>597</v>
      </c>
      <c r="B257" s="2">
        <v>378.125</v>
      </c>
      <c r="C257" s="2" t="s">
        <v>3023</v>
      </c>
      <c r="D257" s="2" t="s">
        <v>3022</v>
      </c>
      <c r="E257" s="2" t="s">
        <v>69</v>
      </c>
      <c r="F257" s="3">
        <v>43080</v>
      </c>
      <c r="G257" s="2" t="str">
        <f>"9780253031785"</f>
        <v>9780253031785</v>
      </c>
      <c r="H257" s="2" t="s">
        <v>14</v>
      </c>
      <c r="I257" s="4">
        <v>43832.544444444444</v>
      </c>
      <c r="J257" s="2" t="s">
        <v>3024</v>
      </c>
    </row>
    <row r="258" spans="1:10" ht="150" x14ac:dyDescent="0.25">
      <c r="A258" s="2" t="s">
        <v>597</v>
      </c>
      <c r="B258" s="2">
        <v>371.33523000000002</v>
      </c>
      <c r="C258" s="2" t="s">
        <v>598</v>
      </c>
      <c r="D258" s="2" t="s">
        <v>596</v>
      </c>
      <c r="E258" s="2" t="s">
        <v>69</v>
      </c>
      <c r="F258" s="3">
        <v>43844</v>
      </c>
      <c r="G258" s="2" t="str">
        <f>"9780253045225"</f>
        <v>9780253045225</v>
      </c>
      <c r="H258" s="2" t="s">
        <v>14</v>
      </c>
      <c r="I258" s="4">
        <v>44008.565972222219</v>
      </c>
      <c r="J258" s="2" t="s">
        <v>599</v>
      </c>
    </row>
    <row r="259" spans="1:10" ht="135" x14ac:dyDescent="0.25">
      <c r="A259" s="2" t="s">
        <v>597</v>
      </c>
      <c r="B259" s="2">
        <v>379</v>
      </c>
      <c r="C259" s="2" t="s">
        <v>3017</v>
      </c>
      <c r="D259" s="2" t="s">
        <v>3016</v>
      </c>
      <c r="E259" s="2" t="s">
        <v>80</v>
      </c>
      <c r="F259" s="3">
        <v>42002</v>
      </c>
      <c r="G259" s="2" t="str">
        <f>"9783653046526"</f>
        <v>9783653046526</v>
      </c>
      <c r="H259" s="2" t="s">
        <v>14</v>
      </c>
      <c r="I259" s="4">
        <v>43832.771527777775</v>
      </c>
      <c r="J259" s="2" t="s">
        <v>3018</v>
      </c>
    </row>
    <row r="260" spans="1:10" ht="135" x14ac:dyDescent="0.25">
      <c r="A260" s="2" t="s">
        <v>597</v>
      </c>
      <c r="B260" s="2">
        <v>372.83044000000001</v>
      </c>
      <c r="C260" s="2" t="s">
        <v>1824</v>
      </c>
      <c r="D260" s="2" t="s">
        <v>1823</v>
      </c>
      <c r="E260" s="2" t="s">
        <v>216</v>
      </c>
      <c r="F260" s="3">
        <v>41944</v>
      </c>
      <c r="G260" s="2" t="str">
        <f>"9781438453187"</f>
        <v>9781438453187</v>
      </c>
      <c r="H260" s="2" t="s">
        <v>14</v>
      </c>
      <c r="I260" s="4">
        <v>43924.75</v>
      </c>
      <c r="J260" s="2" t="s">
        <v>1825</v>
      </c>
    </row>
    <row r="261" spans="1:10" ht="150" x14ac:dyDescent="0.25">
      <c r="A261" s="2" t="s">
        <v>597</v>
      </c>
      <c r="B261" s="2">
        <v>378.00099999999901</v>
      </c>
      <c r="C261" s="2" t="s">
        <v>7430</v>
      </c>
      <c r="D261" s="2" t="s">
        <v>7429</v>
      </c>
      <c r="E261" s="2" t="s">
        <v>627</v>
      </c>
      <c r="F261" s="3">
        <v>42658</v>
      </c>
      <c r="G261" s="2" t="str">
        <f>"9789633860397"</f>
        <v>9789633860397</v>
      </c>
      <c r="H261" s="2" t="s">
        <v>14</v>
      </c>
      <c r="I261" s="4">
        <v>43416.919444444444</v>
      </c>
      <c r="J261" s="2" t="s">
        <v>7431</v>
      </c>
    </row>
    <row r="262" spans="1:10" ht="135" x14ac:dyDescent="0.25">
      <c r="A262" s="2" t="s">
        <v>597</v>
      </c>
      <c r="B262" s="2">
        <v>371.20699999999999</v>
      </c>
      <c r="C262" s="2" t="s">
        <v>11589</v>
      </c>
      <c r="D262" s="2" t="s">
        <v>11588</v>
      </c>
      <c r="E262" s="2" t="s">
        <v>2747</v>
      </c>
      <c r="F262" s="3">
        <v>41486</v>
      </c>
      <c r="G262" s="2" t="str">
        <f>"9781453911273"</f>
        <v>9781453911273</v>
      </c>
      <c r="H262" s="2" t="s">
        <v>14</v>
      </c>
      <c r="I262" s="4">
        <v>42923.460416666669</v>
      </c>
      <c r="J262" s="2" t="s">
        <v>11590</v>
      </c>
    </row>
    <row r="263" spans="1:10" ht="135" x14ac:dyDescent="0.25">
      <c r="A263" s="2" t="s">
        <v>597</v>
      </c>
      <c r="B263" s="2">
        <v>378.43599999999998</v>
      </c>
      <c r="C263" s="2" t="s">
        <v>6608</v>
      </c>
      <c r="D263" s="2" t="s">
        <v>6607</v>
      </c>
      <c r="E263" s="2" t="s">
        <v>723</v>
      </c>
      <c r="F263" s="3">
        <v>43449</v>
      </c>
      <c r="G263" s="2" t="str">
        <f>"9781612495613"</f>
        <v>9781612495613</v>
      </c>
      <c r="H263" s="2" t="s">
        <v>14</v>
      </c>
      <c r="I263" s="4">
        <v>43504.615972222222</v>
      </c>
      <c r="J263" s="2" t="s">
        <v>6609</v>
      </c>
    </row>
    <row r="264" spans="1:10" ht="150" x14ac:dyDescent="0.25">
      <c r="A264" s="2" t="s">
        <v>597</v>
      </c>
      <c r="B264" s="2">
        <v>370.1</v>
      </c>
      <c r="C264" s="2" t="s">
        <v>86</v>
      </c>
      <c r="D264" s="2" t="s">
        <v>7584</v>
      </c>
      <c r="E264" s="2" t="s">
        <v>37</v>
      </c>
      <c r="F264" s="3">
        <v>42772</v>
      </c>
      <c r="G264" s="2" t="str">
        <f>"9783319500669"</f>
        <v>9783319500669</v>
      </c>
      <c r="H264" s="2" t="s">
        <v>14</v>
      </c>
      <c r="I264" s="4">
        <v>43406.69027777778</v>
      </c>
      <c r="J264" s="2" t="s">
        <v>7585</v>
      </c>
    </row>
    <row r="265" spans="1:10" ht="135" x14ac:dyDescent="0.25">
      <c r="A265" s="2" t="s">
        <v>10640</v>
      </c>
      <c r="B265" s="2">
        <v>428.40710999999999</v>
      </c>
      <c r="C265" s="2" t="s">
        <v>10654</v>
      </c>
      <c r="D265" s="2" t="s">
        <v>10653</v>
      </c>
      <c r="E265" s="2" t="s">
        <v>69</v>
      </c>
      <c r="F265" s="3">
        <v>42353</v>
      </c>
      <c r="G265" s="2" t="str">
        <f>"9780253018984"</f>
        <v>9780253018984</v>
      </c>
      <c r="H265" s="2" t="s">
        <v>14</v>
      </c>
      <c r="I265" s="4">
        <v>43043.820138888892</v>
      </c>
      <c r="J265" s="2" t="s">
        <v>10655</v>
      </c>
    </row>
    <row r="266" spans="1:10" ht="135" x14ac:dyDescent="0.25">
      <c r="A266" s="2" t="s">
        <v>10640</v>
      </c>
      <c r="B266" s="2">
        <v>492.7</v>
      </c>
      <c r="C266" s="2" t="s">
        <v>86</v>
      </c>
      <c r="D266" s="2" t="s">
        <v>10639</v>
      </c>
      <c r="E266" s="2" t="s">
        <v>84</v>
      </c>
      <c r="F266" s="3">
        <v>41751</v>
      </c>
      <c r="G266" s="2" t="str">
        <f>"9789401785457"</f>
        <v>9789401785457</v>
      </c>
      <c r="H266" s="2" t="s">
        <v>14</v>
      </c>
      <c r="I266" s="4">
        <v>43045.376388888886</v>
      </c>
      <c r="J266" s="2" t="s">
        <v>10641</v>
      </c>
    </row>
    <row r="267" spans="1:10" ht="135" x14ac:dyDescent="0.25">
      <c r="A267" s="2" t="s">
        <v>1870</v>
      </c>
      <c r="B267" s="2">
        <v>370.97300000000001</v>
      </c>
      <c r="C267" s="2" t="s">
        <v>1871</v>
      </c>
      <c r="D267" s="2" t="s">
        <v>1868</v>
      </c>
      <c r="E267" s="2" t="s">
        <v>1869</v>
      </c>
      <c r="F267" s="3">
        <v>41956</v>
      </c>
      <c r="G267" s="2" t="str">
        <f>"9781475808247"</f>
        <v>9781475808247</v>
      </c>
      <c r="H267" s="2" t="s">
        <v>14</v>
      </c>
      <c r="I267" s="4">
        <v>43923.554861111108</v>
      </c>
      <c r="J267" s="2" t="s">
        <v>1872</v>
      </c>
    </row>
    <row r="268" spans="1:10" ht="135" x14ac:dyDescent="0.25">
      <c r="A268" s="2" t="s">
        <v>85</v>
      </c>
      <c r="B268" s="2">
        <v>323.07100000000003</v>
      </c>
      <c r="C268" s="2" t="s">
        <v>86</v>
      </c>
      <c r="D268" s="2" t="s">
        <v>83</v>
      </c>
      <c r="E268" s="2" t="s">
        <v>84</v>
      </c>
      <c r="F268" s="3">
        <v>42647</v>
      </c>
      <c r="G268" s="2" t="str">
        <f>"9789402408713"</f>
        <v>9789402408713</v>
      </c>
      <c r="H268" s="2" t="s">
        <v>14</v>
      </c>
      <c r="I268" s="4">
        <v>44073.557638888888</v>
      </c>
      <c r="J268" s="2" t="s">
        <v>87</v>
      </c>
    </row>
    <row r="269" spans="1:10" ht="135" x14ac:dyDescent="0.25">
      <c r="A269" s="2" t="s">
        <v>2700</v>
      </c>
      <c r="B269" s="2">
        <v>371.00099999999998</v>
      </c>
      <c r="C269" s="2" t="s">
        <v>2701</v>
      </c>
      <c r="D269" s="2" t="s">
        <v>2699</v>
      </c>
      <c r="E269" s="2" t="s">
        <v>397</v>
      </c>
      <c r="F269" s="3">
        <v>43333</v>
      </c>
      <c r="G269" s="2" t="str">
        <f>"9780822983446"</f>
        <v>9780822983446</v>
      </c>
      <c r="H269" s="2" t="s">
        <v>14</v>
      </c>
      <c r="I269" s="4">
        <v>43863.667361111111</v>
      </c>
      <c r="J269" s="2" t="s">
        <v>2702</v>
      </c>
    </row>
    <row r="270" spans="1:10" ht="135" x14ac:dyDescent="0.25">
      <c r="A270" s="2" t="s">
        <v>496</v>
      </c>
      <c r="D270" s="2" t="s">
        <v>495</v>
      </c>
      <c r="E270" s="2" t="s">
        <v>73</v>
      </c>
      <c r="F270" s="3">
        <v>43935</v>
      </c>
      <c r="G270" s="2" t="str">
        <f>"9781452963631"</f>
        <v>9781452963631</v>
      </c>
      <c r="H270" s="2" t="s">
        <v>14</v>
      </c>
      <c r="I270" s="4">
        <v>44019.359722222223</v>
      </c>
      <c r="J270" s="2" t="s">
        <v>497</v>
      </c>
    </row>
    <row r="271" spans="1:10" ht="135" x14ac:dyDescent="0.25">
      <c r="A271" s="2" t="s">
        <v>12411</v>
      </c>
      <c r="B271" s="2" t="s">
        <v>12412</v>
      </c>
      <c r="C271" s="2" t="s">
        <v>12413</v>
      </c>
      <c r="D271" s="2" t="s">
        <v>12410</v>
      </c>
      <c r="E271" s="2" t="s">
        <v>54</v>
      </c>
      <c r="F271" s="3">
        <v>42690</v>
      </c>
      <c r="G271" s="2" t="str">
        <f>"9781503600270"</f>
        <v>9781503600270</v>
      </c>
      <c r="H271" s="2" t="s">
        <v>14</v>
      </c>
      <c r="I271" s="4">
        <v>42808.648611111108</v>
      </c>
      <c r="J271" s="2" t="s">
        <v>12414</v>
      </c>
    </row>
    <row r="272" spans="1:10" ht="135" x14ac:dyDescent="0.25">
      <c r="A272" s="2" t="s">
        <v>1720</v>
      </c>
      <c r="B272" s="2">
        <v>301.09199999999998</v>
      </c>
      <c r="C272" s="2" t="s">
        <v>1721</v>
      </c>
      <c r="D272" s="2" t="s">
        <v>1718</v>
      </c>
      <c r="E272" s="2" t="s">
        <v>1719</v>
      </c>
      <c r="F272" s="3">
        <v>41599</v>
      </c>
      <c r="G272" s="2" t="str">
        <f>"9780761861775"</f>
        <v>9780761861775</v>
      </c>
      <c r="H272" s="2" t="s">
        <v>14</v>
      </c>
      <c r="I272" s="4">
        <v>43930.65347222222</v>
      </c>
      <c r="J272" s="2" t="s">
        <v>1722</v>
      </c>
    </row>
    <row r="273" spans="1:10" ht="150" x14ac:dyDescent="0.25">
      <c r="A273" s="2" t="s">
        <v>1720</v>
      </c>
      <c r="B273" s="2">
        <v>305.89600000000002</v>
      </c>
      <c r="C273" s="2" t="s">
        <v>86</v>
      </c>
      <c r="D273" s="2" t="s">
        <v>3474</v>
      </c>
      <c r="E273" s="2" t="s">
        <v>37</v>
      </c>
      <c r="F273" s="3">
        <v>42885</v>
      </c>
      <c r="G273" s="2" t="str">
        <f>"9783319530796"</f>
        <v>9783319530796</v>
      </c>
      <c r="H273" s="2" t="s">
        <v>14</v>
      </c>
      <c r="I273" s="4">
        <v>43780.63958333333</v>
      </c>
      <c r="J273" s="2" t="s">
        <v>3475</v>
      </c>
    </row>
    <row r="274" spans="1:10" ht="135" x14ac:dyDescent="0.25">
      <c r="A274" s="2" t="s">
        <v>342</v>
      </c>
      <c r="B274" s="2" t="s">
        <v>11429</v>
      </c>
      <c r="C274" s="2" t="s">
        <v>11430</v>
      </c>
      <c r="D274" s="2" t="s">
        <v>11428</v>
      </c>
      <c r="E274" s="2" t="s">
        <v>54</v>
      </c>
      <c r="F274" s="3">
        <v>41955</v>
      </c>
      <c r="G274" s="2" t="str">
        <f>"9780804793100"</f>
        <v>9780804793100</v>
      </c>
      <c r="H274" s="2" t="s">
        <v>14</v>
      </c>
      <c r="I274" s="4">
        <v>42972.296527777777</v>
      </c>
      <c r="J274" s="2" t="s">
        <v>11431</v>
      </c>
    </row>
    <row r="275" spans="1:10" ht="135" x14ac:dyDescent="0.25">
      <c r="A275" s="2" t="s">
        <v>342</v>
      </c>
      <c r="B275" s="2">
        <v>662.6</v>
      </c>
      <c r="C275" s="2" t="s">
        <v>343</v>
      </c>
      <c r="D275" s="2" t="s">
        <v>341</v>
      </c>
      <c r="E275" s="2" t="s">
        <v>73</v>
      </c>
      <c r="F275" s="3">
        <v>42675</v>
      </c>
      <c r="G275" s="2" t="str">
        <f>"9781452951966"</f>
        <v>9781452951966</v>
      </c>
      <c r="H275" s="2" t="s">
        <v>14</v>
      </c>
      <c r="I275" s="4">
        <v>44037.302083333336</v>
      </c>
      <c r="J275" s="2" t="s">
        <v>344</v>
      </c>
    </row>
    <row r="276" spans="1:10" ht="150" x14ac:dyDescent="0.25">
      <c r="A276" s="2" t="s">
        <v>1827</v>
      </c>
      <c r="B276" s="2" t="s">
        <v>1828</v>
      </c>
      <c r="C276" s="2" t="s">
        <v>1829</v>
      </c>
      <c r="D276" s="2" t="s">
        <v>1826</v>
      </c>
      <c r="E276" s="2" t="s">
        <v>1085</v>
      </c>
      <c r="F276" s="3">
        <v>27760</v>
      </c>
      <c r="G276" s="2" t="str">
        <f>"9780323142212"</f>
        <v>9780323142212</v>
      </c>
      <c r="H276" s="2" t="s">
        <v>14</v>
      </c>
      <c r="I276" s="4">
        <v>43924.713194444441</v>
      </c>
      <c r="J276" s="2" t="s">
        <v>1830</v>
      </c>
    </row>
    <row r="277" spans="1:10" ht="180" x14ac:dyDescent="0.25">
      <c r="A277" s="2" t="s">
        <v>398</v>
      </c>
      <c r="B277" s="2">
        <v>621.09199999999998</v>
      </c>
      <c r="C277" s="2" t="s">
        <v>399</v>
      </c>
      <c r="D277" s="2" t="s">
        <v>396</v>
      </c>
      <c r="E277" s="2" t="s">
        <v>397</v>
      </c>
      <c r="F277" s="3">
        <v>43592</v>
      </c>
      <c r="G277" s="2" t="str">
        <f>"9780822986799"</f>
        <v>9780822986799</v>
      </c>
      <c r="H277" s="2" t="s">
        <v>14</v>
      </c>
      <c r="I277" s="4">
        <v>44026.713888888888</v>
      </c>
      <c r="J277" s="2" t="s">
        <v>400</v>
      </c>
    </row>
    <row r="278" spans="1:10" ht="150" x14ac:dyDescent="0.25">
      <c r="A278" s="2" t="s">
        <v>2319</v>
      </c>
      <c r="B278" s="2">
        <v>616.85839999999996</v>
      </c>
      <c r="C278" s="2" t="s">
        <v>554</v>
      </c>
      <c r="D278" s="2" t="s">
        <v>2318</v>
      </c>
      <c r="E278" s="2" t="s">
        <v>37</v>
      </c>
      <c r="F278" s="3">
        <v>42082</v>
      </c>
      <c r="G278" s="2" t="str">
        <f>"9783319072425"</f>
        <v>9783319072425</v>
      </c>
      <c r="H278" s="2" t="s">
        <v>14</v>
      </c>
      <c r="I278" s="4">
        <v>43893.590277777781</v>
      </c>
      <c r="J278" s="2" t="s">
        <v>2320</v>
      </c>
    </row>
    <row r="279" spans="1:10" ht="135" x14ac:dyDescent="0.25">
      <c r="A279" s="2" t="s">
        <v>2667</v>
      </c>
      <c r="B279" s="2">
        <v>384.54097289999999</v>
      </c>
      <c r="C279" s="2" t="s">
        <v>2668</v>
      </c>
      <c r="D279" s="2" t="s">
        <v>2666</v>
      </c>
      <c r="E279" s="2" t="s">
        <v>156</v>
      </c>
      <c r="F279" s="3">
        <v>42646</v>
      </c>
      <c r="G279" s="2" t="str">
        <f>"9781469628714"</f>
        <v>9781469628714</v>
      </c>
      <c r="H279" s="2" t="s">
        <v>14</v>
      </c>
      <c r="I279" s="4">
        <v>43866.910416666666</v>
      </c>
      <c r="J279" s="2" t="s">
        <v>2669</v>
      </c>
    </row>
    <row r="280" spans="1:10" ht="135" x14ac:dyDescent="0.25">
      <c r="A280" s="2" t="s">
        <v>5149</v>
      </c>
      <c r="B280" s="2">
        <v>629.22720688000004</v>
      </c>
      <c r="D280" s="2" t="s">
        <v>5148</v>
      </c>
      <c r="E280" s="2" t="s">
        <v>310</v>
      </c>
      <c r="F280" s="3">
        <v>43276</v>
      </c>
      <c r="G280" s="2" t="str">
        <f>"9780815654391"</f>
        <v>9780815654391</v>
      </c>
      <c r="H280" s="2" t="s">
        <v>14</v>
      </c>
      <c r="I280" s="4">
        <v>43609.792361111111</v>
      </c>
      <c r="J280" s="2" t="s">
        <v>5150</v>
      </c>
    </row>
    <row r="281" spans="1:10" ht="135" x14ac:dyDescent="0.25">
      <c r="A281" s="2" t="s">
        <v>1771</v>
      </c>
      <c r="B281" s="2">
        <v>620</v>
      </c>
      <c r="C281" s="2" t="s">
        <v>554</v>
      </c>
      <c r="D281" s="2" t="s">
        <v>1770</v>
      </c>
      <c r="E281" s="2" t="s">
        <v>84</v>
      </c>
      <c r="F281" s="3">
        <v>41611</v>
      </c>
      <c r="G281" s="2" t="str">
        <f>"9789400776722"</f>
        <v>9789400776722</v>
      </c>
      <c r="H281" s="2" t="s">
        <v>14</v>
      </c>
      <c r="I281" s="4">
        <v>43928.494444444441</v>
      </c>
      <c r="J281" s="2" t="s">
        <v>1772</v>
      </c>
    </row>
    <row r="282" spans="1:10" ht="135" x14ac:dyDescent="0.25">
      <c r="A282" s="2" t="s">
        <v>12326</v>
      </c>
      <c r="B282" s="2">
        <v>629.13009220000004</v>
      </c>
      <c r="C282" s="2" t="s">
        <v>12327</v>
      </c>
      <c r="D282" s="2" t="s">
        <v>12325</v>
      </c>
      <c r="E282" s="2" t="s">
        <v>256</v>
      </c>
      <c r="F282" s="3">
        <v>41645</v>
      </c>
      <c r="G282" s="2" t="str">
        <f>"9780821444740"</f>
        <v>9780821444740</v>
      </c>
      <c r="H282" s="2" t="s">
        <v>14</v>
      </c>
      <c r="I282" s="4">
        <v>42815.715277777781</v>
      </c>
      <c r="J282" s="2" t="s">
        <v>12328</v>
      </c>
    </row>
    <row r="283" spans="1:10" ht="135" x14ac:dyDescent="0.25">
      <c r="A283" s="2" t="s">
        <v>13011</v>
      </c>
      <c r="B283" s="2">
        <v>683.40094209029996</v>
      </c>
      <c r="C283" s="2" t="s">
        <v>13012</v>
      </c>
      <c r="D283" s="2" t="s">
        <v>13010</v>
      </c>
      <c r="E283" s="2" t="s">
        <v>28</v>
      </c>
      <c r="F283" s="3">
        <v>42520</v>
      </c>
      <c r="G283" s="2" t="str">
        <f>"9780813938608"</f>
        <v>9780813938608</v>
      </c>
      <c r="H283" s="2" t="s">
        <v>14</v>
      </c>
      <c r="I283" s="4">
        <v>42746.084027777775</v>
      </c>
      <c r="J283" s="2" t="s">
        <v>13013</v>
      </c>
    </row>
    <row r="284" spans="1:10" ht="135" x14ac:dyDescent="0.25">
      <c r="A284" s="2" t="s">
        <v>12342</v>
      </c>
      <c r="B284" s="2">
        <v>629.22199999999998</v>
      </c>
      <c r="C284" s="2" t="s">
        <v>12343</v>
      </c>
      <c r="D284" s="2" t="s">
        <v>12340</v>
      </c>
      <c r="E284" s="2" t="s">
        <v>12341</v>
      </c>
      <c r="F284" s="3">
        <v>42101</v>
      </c>
      <c r="G284" s="2" t="str">
        <f>"9781628725490"</f>
        <v>9781628725490</v>
      </c>
      <c r="H284" s="2" t="s">
        <v>14</v>
      </c>
      <c r="I284" s="4">
        <v>42815.423611111109</v>
      </c>
      <c r="J284" s="2" t="s">
        <v>12344</v>
      </c>
    </row>
    <row r="285" spans="1:10" ht="180" x14ac:dyDescent="0.25">
      <c r="A285" s="2" t="s">
        <v>9796</v>
      </c>
      <c r="B285" s="2" t="s">
        <v>9797</v>
      </c>
      <c r="C285" s="2" t="s">
        <v>9798</v>
      </c>
      <c r="D285" s="2" t="s">
        <v>9795</v>
      </c>
      <c r="E285" s="2" t="s">
        <v>1550</v>
      </c>
      <c r="F285" s="3">
        <v>42139</v>
      </c>
      <c r="G285" s="2" t="str">
        <f>"9781629580920"</f>
        <v>9781629580920</v>
      </c>
      <c r="H285" s="2" t="s">
        <v>14</v>
      </c>
      <c r="I285" s="4">
        <v>43129.709027777775</v>
      </c>
      <c r="J285" s="2" t="s">
        <v>9799</v>
      </c>
    </row>
    <row r="286" spans="1:10" ht="135" x14ac:dyDescent="0.25">
      <c r="A286" s="2" t="s">
        <v>553</v>
      </c>
      <c r="B286" s="2">
        <v>25.04</v>
      </c>
      <c r="C286" s="2" t="s">
        <v>554</v>
      </c>
      <c r="D286" s="2" t="s">
        <v>552</v>
      </c>
      <c r="E286" s="2" t="s">
        <v>37</v>
      </c>
      <c r="F286" s="3">
        <v>41984</v>
      </c>
      <c r="G286" s="2" t="str">
        <f>"9783319087474"</f>
        <v>9783319087474</v>
      </c>
      <c r="H286" s="2" t="s">
        <v>14</v>
      </c>
      <c r="I286" s="4">
        <v>44014.609722222223</v>
      </c>
      <c r="J286" s="2" t="s">
        <v>555</v>
      </c>
    </row>
    <row r="287" spans="1:10" ht="150" x14ac:dyDescent="0.25">
      <c r="A287" s="2" t="s">
        <v>4762</v>
      </c>
      <c r="B287" s="2">
        <v>628.09370000000001</v>
      </c>
      <c r="C287" s="2" t="s">
        <v>4763</v>
      </c>
      <c r="D287" s="2" t="s">
        <v>4761</v>
      </c>
      <c r="E287" s="2" t="s">
        <v>156</v>
      </c>
      <c r="F287" s="3">
        <v>42100</v>
      </c>
      <c r="G287" s="2" t="str">
        <f>"9781469623269"</f>
        <v>9781469623269</v>
      </c>
      <c r="H287" s="2" t="s">
        <v>14</v>
      </c>
      <c r="I287" s="4">
        <v>43628.676388888889</v>
      </c>
      <c r="J287" s="2" t="s">
        <v>4764</v>
      </c>
    </row>
    <row r="288" spans="1:10" ht="135" x14ac:dyDescent="0.25">
      <c r="A288" s="2" t="s">
        <v>8832</v>
      </c>
      <c r="B288" s="2">
        <v>363.73920941</v>
      </c>
      <c r="C288" s="2" t="s">
        <v>8833</v>
      </c>
      <c r="D288" s="2" t="s">
        <v>8831</v>
      </c>
      <c r="E288" s="2" t="s">
        <v>256</v>
      </c>
      <c r="F288" s="3">
        <v>43206</v>
      </c>
      <c r="G288" s="2" t="str">
        <f>"9780821446270"</f>
        <v>9780821446270</v>
      </c>
      <c r="H288" s="2" t="s">
        <v>14</v>
      </c>
      <c r="I288" s="4">
        <v>43249.565972222219</v>
      </c>
      <c r="J288" s="2" t="s">
        <v>8834</v>
      </c>
    </row>
    <row r="289" spans="1:10" ht="135" x14ac:dyDescent="0.25">
      <c r="A289" s="2" t="s">
        <v>5631</v>
      </c>
      <c r="B289" s="2">
        <v>601</v>
      </c>
      <c r="C289" s="2" t="s">
        <v>6215</v>
      </c>
      <c r="D289" s="2" t="s">
        <v>6214</v>
      </c>
      <c r="E289" s="2" t="s">
        <v>73</v>
      </c>
      <c r="F289" s="3">
        <v>43417</v>
      </c>
      <c r="G289" s="2" t="str">
        <f>"9781452958200"</f>
        <v>9781452958200</v>
      </c>
      <c r="H289" s="2" t="s">
        <v>14</v>
      </c>
      <c r="I289" s="4">
        <v>43532.395833333336</v>
      </c>
      <c r="J289" s="2" t="s">
        <v>6216</v>
      </c>
    </row>
    <row r="290" spans="1:10" ht="135" x14ac:dyDescent="0.25">
      <c r="A290" s="2" t="s">
        <v>5631</v>
      </c>
      <c r="B290" s="2">
        <v>629.47809729999994</v>
      </c>
      <c r="C290" s="2" t="s">
        <v>5632</v>
      </c>
      <c r="D290" s="2" t="s">
        <v>5630</v>
      </c>
      <c r="E290" s="2" t="s">
        <v>130</v>
      </c>
      <c r="F290" s="3">
        <v>42773</v>
      </c>
      <c r="G290" s="2" t="str">
        <f>"9780813052908"</f>
        <v>9780813052908</v>
      </c>
      <c r="H290" s="2" t="s">
        <v>14</v>
      </c>
      <c r="I290" s="4">
        <v>43585.548611111109</v>
      </c>
      <c r="J290" s="2" t="s">
        <v>5633</v>
      </c>
    </row>
    <row r="291" spans="1:10" ht="165" x14ac:dyDescent="0.25">
      <c r="A291" s="2" t="s">
        <v>131</v>
      </c>
      <c r="B291" s="2" t="s">
        <v>132</v>
      </c>
      <c r="C291" s="2" t="s">
        <v>133</v>
      </c>
      <c r="D291" s="2" t="s">
        <v>129</v>
      </c>
      <c r="E291" s="2" t="s">
        <v>130</v>
      </c>
      <c r="F291" s="3">
        <v>42472</v>
      </c>
      <c r="G291" s="2" t="str">
        <f>"9780813055763"</f>
        <v>9780813055763</v>
      </c>
      <c r="H291" s="2" t="s">
        <v>14</v>
      </c>
      <c r="I291" s="4">
        <v>44069.703472222223</v>
      </c>
      <c r="J291" s="2" t="s">
        <v>134</v>
      </c>
    </row>
    <row r="292" spans="1:10" ht="240" x14ac:dyDescent="0.25">
      <c r="A292" s="2" t="s">
        <v>8295</v>
      </c>
      <c r="B292" s="2">
        <v>738.0951</v>
      </c>
      <c r="C292" s="2" t="s">
        <v>8296</v>
      </c>
      <c r="D292" s="2" t="s">
        <v>8294</v>
      </c>
      <c r="E292" s="2" t="s">
        <v>1719</v>
      </c>
      <c r="F292" s="3">
        <v>41887</v>
      </c>
      <c r="G292" s="2" t="str">
        <f>"9780761864295"</f>
        <v>9780761864295</v>
      </c>
      <c r="H292" s="2" t="s">
        <v>14</v>
      </c>
      <c r="I292" s="4">
        <v>43325.549305555556</v>
      </c>
      <c r="J292" s="2" t="s">
        <v>8297</v>
      </c>
    </row>
    <row r="293" spans="1:10" ht="135" x14ac:dyDescent="0.25">
      <c r="A293" s="2" t="s">
        <v>5627</v>
      </c>
      <c r="B293" s="2">
        <v>629.44200000000001</v>
      </c>
      <c r="C293" s="2" t="s">
        <v>5628</v>
      </c>
      <c r="D293" s="2" t="s">
        <v>5626</v>
      </c>
      <c r="E293" s="2" t="s">
        <v>50</v>
      </c>
      <c r="F293" s="3">
        <v>42948</v>
      </c>
      <c r="G293" s="2" t="str">
        <f>"9781496201089"</f>
        <v>9781496201089</v>
      </c>
      <c r="H293" s="2" t="s">
        <v>14</v>
      </c>
      <c r="I293" s="4">
        <v>43585.550694444442</v>
      </c>
      <c r="J293" s="2" t="s">
        <v>5629</v>
      </c>
    </row>
    <row r="294" spans="1:10" ht="135" x14ac:dyDescent="0.25">
      <c r="A294" s="2" t="s">
        <v>4147</v>
      </c>
      <c r="B294" s="2">
        <v>620.1</v>
      </c>
      <c r="C294" s="2" t="s">
        <v>4148</v>
      </c>
      <c r="D294" s="2" t="s">
        <v>4146</v>
      </c>
      <c r="E294" s="2" t="s">
        <v>397</v>
      </c>
      <c r="F294" s="3">
        <v>43557</v>
      </c>
      <c r="G294" s="2" t="str">
        <f>"9780822986522"</f>
        <v>9780822986522</v>
      </c>
      <c r="H294" s="2" t="s">
        <v>14</v>
      </c>
      <c r="I294" s="4">
        <v>43705.57916666667</v>
      </c>
      <c r="J294" s="2" t="s">
        <v>4149</v>
      </c>
    </row>
    <row r="295" spans="1:10" ht="135" x14ac:dyDescent="0.25">
      <c r="A295" s="2" t="s">
        <v>269</v>
      </c>
      <c r="D295" s="2" t="s">
        <v>267</v>
      </c>
      <c r="E295" s="2" t="s">
        <v>268</v>
      </c>
      <c r="F295" s="3">
        <v>44012</v>
      </c>
      <c r="G295" s="2" t="str">
        <f>"9780815738589"</f>
        <v>9780815738589</v>
      </c>
      <c r="H295" s="2" t="s">
        <v>14</v>
      </c>
      <c r="I295" s="4">
        <v>44049.189583333333</v>
      </c>
      <c r="J295" s="2" t="s">
        <v>270</v>
      </c>
    </row>
    <row r="296" spans="1:10" ht="135" x14ac:dyDescent="0.25">
      <c r="A296" s="2" t="s">
        <v>3181</v>
      </c>
      <c r="B296" s="2">
        <v>669.096</v>
      </c>
      <c r="C296" s="2" t="s">
        <v>153</v>
      </c>
      <c r="D296" s="2" t="s">
        <v>3180</v>
      </c>
      <c r="E296" s="2" t="s">
        <v>37</v>
      </c>
      <c r="F296" s="3">
        <v>42094</v>
      </c>
      <c r="G296" s="2" t="str">
        <f>"9783319116419"</f>
        <v>9783319116419</v>
      </c>
      <c r="H296" s="2" t="s">
        <v>14</v>
      </c>
      <c r="I296" s="4">
        <v>43801.910416666666</v>
      </c>
      <c r="J296" s="2" t="s">
        <v>3182</v>
      </c>
    </row>
    <row r="297" spans="1:10" ht="150" x14ac:dyDescent="0.25">
      <c r="A297" s="2" t="s">
        <v>5688</v>
      </c>
      <c r="B297" s="2">
        <v>363.11962233830002</v>
      </c>
      <c r="C297" s="2" t="s">
        <v>5689</v>
      </c>
      <c r="D297" s="2" t="s">
        <v>5687</v>
      </c>
      <c r="E297" s="2" t="s">
        <v>97</v>
      </c>
      <c r="F297" s="3">
        <v>43095</v>
      </c>
      <c r="G297" s="2" t="str">
        <f>"9780231545716"</f>
        <v>9780231545716</v>
      </c>
      <c r="H297" s="2" t="s">
        <v>14</v>
      </c>
      <c r="I297" s="4">
        <v>43580.436805555553</v>
      </c>
      <c r="J297" s="2" t="s">
        <v>5690</v>
      </c>
    </row>
    <row r="298" spans="1:10" ht="165" x14ac:dyDescent="0.25">
      <c r="A298" s="2" t="s">
        <v>2161</v>
      </c>
      <c r="B298" s="2">
        <v>363.738</v>
      </c>
      <c r="C298" s="2" t="s">
        <v>2162</v>
      </c>
      <c r="D298" s="2" t="s">
        <v>2160</v>
      </c>
      <c r="E298" s="2" t="s">
        <v>84</v>
      </c>
      <c r="F298" s="3">
        <v>42102</v>
      </c>
      <c r="G298" s="2" t="str">
        <f>"9789401795418"</f>
        <v>9789401795418</v>
      </c>
      <c r="H298" s="2" t="s">
        <v>14</v>
      </c>
      <c r="I298" s="4">
        <v>43908.447916666664</v>
      </c>
      <c r="J298" s="2" t="s">
        <v>2163</v>
      </c>
    </row>
    <row r="299" spans="1:10" ht="135" x14ac:dyDescent="0.25">
      <c r="A299" s="2" t="s">
        <v>2161</v>
      </c>
      <c r="B299" s="2">
        <v>363.73874000000001</v>
      </c>
      <c r="C299" s="2" t="s">
        <v>3796</v>
      </c>
      <c r="D299" s="2" t="s">
        <v>3795</v>
      </c>
      <c r="E299" s="2" t="s">
        <v>856</v>
      </c>
      <c r="F299" s="3">
        <v>42826</v>
      </c>
      <c r="G299" s="2" t="str">
        <f>"9780295741406"</f>
        <v>9780295741406</v>
      </c>
      <c r="H299" s="2" t="s">
        <v>14</v>
      </c>
      <c r="I299" s="4">
        <v>43754.724999999999</v>
      </c>
      <c r="J299" s="2" t="s">
        <v>3797</v>
      </c>
    </row>
    <row r="300" spans="1:10" ht="135" x14ac:dyDescent="0.25">
      <c r="A300" s="2" t="s">
        <v>2161</v>
      </c>
      <c r="B300" s="2">
        <v>363.7</v>
      </c>
      <c r="C300" s="2" t="s">
        <v>8192</v>
      </c>
      <c r="D300" s="2" t="s">
        <v>8191</v>
      </c>
      <c r="E300" s="2" t="s">
        <v>460</v>
      </c>
      <c r="F300" s="3">
        <v>42856</v>
      </c>
      <c r="G300" s="2" t="str">
        <f>"9780773549364"</f>
        <v>9780773549364</v>
      </c>
      <c r="H300" s="2" t="s">
        <v>14</v>
      </c>
      <c r="I300" s="4">
        <v>43342.740277777775</v>
      </c>
      <c r="J300" s="2" t="s">
        <v>8193</v>
      </c>
    </row>
    <row r="301" spans="1:10" ht="135" x14ac:dyDescent="0.25">
      <c r="A301" s="2" t="s">
        <v>2512</v>
      </c>
      <c r="D301" s="2" t="s">
        <v>2511</v>
      </c>
      <c r="E301" s="2" t="s">
        <v>50</v>
      </c>
      <c r="F301" s="3">
        <v>43647</v>
      </c>
      <c r="G301" s="2" t="str">
        <f>"9781496215895"</f>
        <v>9781496215895</v>
      </c>
      <c r="H301" s="2" t="s">
        <v>14</v>
      </c>
      <c r="I301" s="4">
        <v>43880.395833333336</v>
      </c>
      <c r="J301" s="2" t="s">
        <v>2513</v>
      </c>
    </row>
    <row r="302" spans="1:10" ht="135" x14ac:dyDescent="0.25">
      <c r="A302" s="2" t="s">
        <v>12071</v>
      </c>
      <c r="B302" s="2" t="s">
        <v>12072</v>
      </c>
      <c r="C302" s="2" t="s">
        <v>12073</v>
      </c>
      <c r="D302" s="2" t="s">
        <v>12070</v>
      </c>
      <c r="E302" s="2" t="s">
        <v>4660</v>
      </c>
      <c r="F302" s="3">
        <v>34973</v>
      </c>
      <c r="G302" s="2" t="str">
        <f>"9780813149165"</f>
        <v>9780813149165</v>
      </c>
      <c r="H302" s="2" t="s">
        <v>14</v>
      </c>
      <c r="I302" s="4">
        <v>42852.593055555553</v>
      </c>
      <c r="J302" s="2" t="s">
        <v>12074</v>
      </c>
    </row>
    <row r="303" spans="1:10" ht="135" x14ac:dyDescent="0.25">
      <c r="A303" s="2" t="s">
        <v>2070</v>
      </c>
      <c r="B303" s="2">
        <v>363.69095900000002</v>
      </c>
      <c r="C303" s="2" t="s">
        <v>12121</v>
      </c>
      <c r="D303" s="2" t="s">
        <v>12120</v>
      </c>
      <c r="E303" s="2" t="s">
        <v>284</v>
      </c>
      <c r="F303" s="3">
        <v>41486</v>
      </c>
      <c r="G303" s="2" t="str">
        <f>"9780824837938"</f>
        <v>9780824837938</v>
      </c>
      <c r="H303" s="2" t="s">
        <v>14</v>
      </c>
      <c r="I303" s="4">
        <v>42848.629861111112</v>
      </c>
      <c r="J303" s="2" t="s">
        <v>12122</v>
      </c>
    </row>
    <row r="304" spans="1:10" ht="135" x14ac:dyDescent="0.25">
      <c r="A304" s="2" t="s">
        <v>2070</v>
      </c>
      <c r="D304" s="2" t="s">
        <v>2069</v>
      </c>
      <c r="E304" s="2" t="s">
        <v>322</v>
      </c>
      <c r="F304" s="3">
        <v>43891</v>
      </c>
      <c r="G304" s="2" t="str">
        <f>"9780820356471"</f>
        <v>9780820356471</v>
      </c>
      <c r="H304" s="2" t="s">
        <v>14</v>
      </c>
      <c r="I304" s="4">
        <v>43915.613194444442</v>
      </c>
      <c r="J304" s="2" t="s">
        <v>2071</v>
      </c>
    </row>
    <row r="305" spans="1:10" ht="135" x14ac:dyDescent="0.25">
      <c r="A305" s="2" t="s">
        <v>2070</v>
      </c>
      <c r="B305" s="2" t="s">
        <v>5072</v>
      </c>
      <c r="C305" s="2" t="s">
        <v>5073</v>
      </c>
      <c r="D305" s="2" t="s">
        <v>5071</v>
      </c>
      <c r="E305" s="2" t="s">
        <v>578</v>
      </c>
      <c r="F305" s="3">
        <v>42551</v>
      </c>
      <c r="G305" s="2" t="str">
        <f>"9780252098536"</f>
        <v>9780252098536</v>
      </c>
      <c r="H305" s="2" t="s">
        <v>14</v>
      </c>
      <c r="I305" s="4">
        <v>43611.677083333336</v>
      </c>
      <c r="J305" s="2" t="s">
        <v>5074</v>
      </c>
    </row>
    <row r="306" spans="1:10" ht="135" x14ac:dyDescent="0.25">
      <c r="A306" s="2" t="s">
        <v>2070</v>
      </c>
      <c r="B306" s="2" t="s">
        <v>7644</v>
      </c>
      <c r="C306" s="2" t="s">
        <v>11999</v>
      </c>
      <c r="D306" s="2" t="s">
        <v>11998</v>
      </c>
      <c r="E306" s="2" t="s">
        <v>73</v>
      </c>
      <c r="F306" s="3">
        <v>42780</v>
      </c>
      <c r="G306" s="2" t="str">
        <f>"9781452953717"</f>
        <v>9781452953717</v>
      </c>
      <c r="H306" s="2" t="s">
        <v>14</v>
      </c>
      <c r="I306" s="4">
        <v>42863.53125</v>
      </c>
      <c r="J306" s="2" t="s">
        <v>12000</v>
      </c>
    </row>
    <row r="307" spans="1:10" ht="135" x14ac:dyDescent="0.25">
      <c r="A307" s="2" t="s">
        <v>2070</v>
      </c>
      <c r="B307" s="2">
        <v>363.69</v>
      </c>
      <c r="C307" s="2" t="s">
        <v>5655</v>
      </c>
      <c r="D307" s="2" t="s">
        <v>5654</v>
      </c>
      <c r="E307" s="2" t="s">
        <v>130</v>
      </c>
      <c r="F307" s="3">
        <v>43486</v>
      </c>
      <c r="G307" s="2" t="str">
        <f>"9780813057019"</f>
        <v>9780813057019</v>
      </c>
      <c r="H307" s="2" t="s">
        <v>14</v>
      </c>
      <c r="I307" s="4">
        <v>43583.451388888891</v>
      </c>
      <c r="J307" s="2" t="s">
        <v>5656</v>
      </c>
    </row>
    <row r="308" spans="1:10" ht="135" x14ac:dyDescent="0.25">
      <c r="A308" s="2" t="s">
        <v>2182</v>
      </c>
      <c r="D308" s="2" t="s">
        <v>2181</v>
      </c>
      <c r="E308" s="2" t="s">
        <v>156</v>
      </c>
      <c r="F308" s="3">
        <v>43941</v>
      </c>
      <c r="G308" s="2" t="str">
        <f>"9781469655956"</f>
        <v>9781469655956</v>
      </c>
      <c r="H308" s="2" t="s">
        <v>14</v>
      </c>
      <c r="I308" s="4">
        <v>43904.454861111109</v>
      </c>
      <c r="J308" s="2" t="s">
        <v>2183</v>
      </c>
    </row>
    <row r="309" spans="1:10" ht="135" x14ac:dyDescent="0.25">
      <c r="A309" s="2" t="s">
        <v>1241</v>
      </c>
      <c r="B309" s="2">
        <v>304.2</v>
      </c>
      <c r="C309" s="2" t="s">
        <v>12585</v>
      </c>
      <c r="D309" s="2" t="s">
        <v>12584</v>
      </c>
      <c r="E309" s="2" t="s">
        <v>69</v>
      </c>
      <c r="F309" s="3">
        <v>40476</v>
      </c>
      <c r="G309" s="2" t="str">
        <f>"9780253004833"</f>
        <v>9780253004833</v>
      </c>
      <c r="H309" s="2" t="s">
        <v>14</v>
      </c>
      <c r="I309" s="4">
        <v>42793.602083333331</v>
      </c>
      <c r="J309" s="2" t="s">
        <v>12586</v>
      </c>
    </row>
    <row r="310" spans="1:10" ht="135" x14ac:dyDescent="0.25">
      <c r="A310" s="2" t="s">
        <v>1241</v>
      </c>
      <c r="B310" s="2">
        <v>304.2</v>
      </c>
      <c r="C310" s="2" t="s">
        <v>9763</v>
      </c>
      <c r="D310" s="2" t="s">
        <v>9762</v>
      </c>
      <c r="E310" s="2" t="s">
        <v>73</v>
      </c>
      <c r="F310" s="3">
        <v>42583</v>
      </c>
      <c r="G310" s="2" t="str">
        <f>"9781452951720"</f>
        <v>9781452951720</v>
      </c>
      <c r="H310" s="2" t="s">
        <v>14</v>
      </c>
      <c r="I310" s="4">
        <v>43131.431250000001</v>
      </c>
      <c r="J310" s="2" t="s">
        <v>9764</v>
      </c>
    </row>
    <row r="311" spans="1:10" ht="135" x14ac:dyDescent="0.25">
      <c r="A311" s="2" t="s">
        <v>1241</v>
      </c>
      <c r="B311" s="2">
        <v>304.20830000000001</v>
      </c>
      <c r="C311" s="2" t="s">
        <v>7963</v>
      </c>
      <c r="D311" s="2" t="s">
        <v>7962</v>
      </c>
      <c r="E311" s="2" t="s">
        <v>73</v>
      </c>
      <c r="F311" s="3">
        <v>42675</v>
      </c>
      <c r="G311" s="2" t="str">
        <f>"9781452953090"</f>
        <v>9781452953090</v>
      </c>
      <c r="H311" s="2" t="s">
        <v>14</v>
      </c>
      <c r="I311" s="4">
        <v>43370.314583333333</v>
      </c>
      <c r="J311" s="2" t="s">
        <v>7964</v>
      </c>
    </row>
    <row r="312" spans="1:10" ht="135" x14ac:dyDescent="0.25">
      <c r="A312" s="2" t="s">
        <v>1241</v>
      </c>
      <c r="B312" s="2">
        <v>304.2</v>
      </c>
      <c r="C312" s="2" t="s">
        <v>1242</v>
      </c>
      <c r="D312" s="2" t="s">
        <v>1240</v>
      </c>
      <c r="E312" s="2" t="s">
        <v>121</v>
      </c>
      <c r="F312" s="3">
        <v>43891</v>
      </c>
      <c r="G312" s="2" t="str">
        <f>"9781609176334"</f>
        <v>9781609176334</v>
      </c>
      <c r="H312" s="2" t="s">
        <v>14</v>
      </c>
      <c r="I312" s="4">
        <v>43953.63958333333</v>
      </c>
      <c r="J312" s="2" t="s">
        <v>1243</v>
      </c>
    </row>
    <row r="313" spans="1:10" ht="135" x14ac:dyDescent="0.25">
      <c r="A313" s="2" t="s">
        <v>2018</v>
      </c>
      <c r="D313" s="2" t="s">
        <v>2017</v>
      </c>
      <c r="E313" s="2" t="s">
        <v>1417</v>
      </c>
      <c r="F313" s="3">
        <v>43421</v>
      </c>
      <c r="G313" s="2" t="str">
        <f>"9781786826619"</f>
        <v>9781786826619</v>
      </c>
      <c r="H313" s="2" t="s">
        <v>14</v>
      </c>
      <c r="I313" s="4">
        <v>43917.737500000003</v>
      </c>
      <c r="J313" s="2" t="s">
        <v>2019</v>
      </c>
    </row>
    <row r="314" spans="1:10" ht="135" x14ac:dyDescent="0.25">
      <c r="A314" s="2" t="s">
        <v>24</v>
      </c>
      <c r="B314" s="2">
        <v>791.43090459999996</v>
      </c>
      <c r="C314" s="2" t="s">
        <v>5278</v>
      </c>
      <c r="D314" s="2" t="s">
        <v>5277</v>
      </c>
      <c r="E314" s="2" t="s">
        <v>23</v>
      </c>
      <c r="F314" s="3">
        <v>43390</v>
      </c>
      <c r="G314" s="2" t="str">
        <f>"9780814342947"</f>
        <v>9780814342947</v>
      </c>
      <c r="H314" s="2" t="s">
        <v>14</v>
      </c>
      <c r="I314" s="4">
        <v>43606.508333333331</v>
      </c>
      <c r="J314" s="2" t="s">
        <v>5279</v>
      </c>
    </row>
    <row r="315" spans="1:10" ht="135" x14ac:dyDescent="0.25">
      <c r="A315" s="2" t="s">
        <v>24</v>
      </c>
      <c r="B315" s="2" t="s">
        <v>11869</v>
      </c>
      <c r="C315" s="2" t="s">
        <v>763</v>
      </c>
      <c r="D315" s="2" t="s">
        <v>11868</v>
      </c>
      <c r="E315" s="2" t="s">
        <v>578</v>
      </c>
      <c r="F315" s="3">
        <v>42528</v>
      </c>
      <c r="G315" s="2" t="str">
        <f>"9780252098307"</f>
        <v>9780252098307</v>
      </c>
      <c r="H315" s="2" t="s">
        <v>14</v>
      </c>
      <c r="I315" s="4">
        <v>42876.456944444442</v>
      </c>
      <c r="J315" s="2" t="s">
        <v>11870</v>
      </c>
    </row>
    <row r="316" spans="1:10" ht="135" x14ac:dyDescent="0.25">
      <c r="A316" s="2" t="s">
        <v>24</v>
      </c>
      <c r="B316" s="2" t="s">
        <v>1361</v>
      </c>
      <c r="C316" s="2" t="s">
        <v>1362</v>
      </c>
      <c r="D316" s="2" t="s">
        <v>1360</v>
      </c>
      <c r="E316" s="2" t="s">
        <v>216</v>
      </c>
      <c r="F316" s="3">
        <v>43466</v>
      </c>
      <c r="G316" s="2" t="str">
        <f>"9781438472096"</f>
        <v>9781438472096</v>
      </c>
      <c r="H316" s="2" t="s">
        <v>14</v>
      </c>
      <c r="I316" s="4">
        <v>43947.463194444441</v>
      </c>
      <c r="J316" s="2" t="s">
        <v>1363</v>
      </c>
    </row>
    <row r="317" spans="1:10" ht="135" x14ac:dyDescent="0.25">
      <c r="A317" s="2" t="s">
        <v>24</v>
      </c>
      <c r="B317" s="2" t="s">
        <v>1812</v>
      </c>
      <c r="C317" s="2" t="s">
        <v>1813</v>
      </c>
      <c r="D317" s="2" t="s">
        <v>1810</v>
      </c>
      <c r="E317" s="2" t="s">
        <v>1811</v>
      </c>
      <c r="F317" s="3">
        <v>33039</v>
      </c>
      <c r="G317" s="2" t="str">
        <f>"9780807776377"</f>
        <v>9780807776377</v>
      </c>
      <c r="H317" s="2" t="s">
        <v>14</v>
      </c>
      <c r="I317" s="4">
        <v>43925.882638888892</v>
      </c>
      <c r="J317" s="2" t="s">
        <v>1814</v>
      </c>
    </row>
    <row r="318" spans="1:10" ht="135" x14ac:dyDescent="0.25">
      <c r="A318" s="2" t="s">
        <v>24</v>
      </c>
      <c r="B318" s="2">
        <v>792.09730000000002</v>
      </c>
      <c r="C318" s="2" t="s">
        <v>7194</v>
      </c>
      <c r="D318" s="2" t="s">
        <v>7193</v>
      </c>
      <c r="E318" s="2" t="s">
        <v>578</v>
      </c>
      <c r="F318" s="3">
        <v>38609</v>
      </c>
      <c r="G318" s="2" t="str">
        <f>"9780252091032"</f>
        <v>9780252091032</v>
      </c>
      <c r="H318" s="2" t="s">
        <v>14</v>
      </c>
      <c r="I318" s="4">
        <v>43435.964583333334</v>
      </c>
      <c r="J318" s="2" t="s">
        <v>7195</v>
      </c>
    </row>
    <row r="319" spans="1:10" ht="135" x14ac:dyDescent="0.25">
      <c r="A319" s="2" t="s">
        <v>24</v>
      </c>
      <c r="B319" s="2">
        <v>791.43700000000001</v>
      </c>
      <c r="C319" s="2" t="s">
        <v>5635</v>
      </c>
      <c r="D319" s="2" t="s">
        <v>5634</v>
      </c>
      <c r="E319" s="2" t="s">
        <v>73</v>
      </c>
      <c r="F319" s="3">
        <v>42460</v>
      </c>
      <c r="G319" s="2" t="str">
        <f>"9781937561734"</f>
        <v>9781937561734</v>
      </c>
      <c r="H319" s="2" t="s">
        <v>14</v>
      </c>
      <c r="I319" s="4">
        <v>43585.469444444447</v>
      </c>
      <c r="J319" s="2" t="s">
        <v>5636</v>
      </c>
    </row>
    <row r="320" spans="1:10" ht="150" x14ac:dyDescent="0.25">
      <c r="A320" s="2" t="s">
        <v>24</v>
      </c>
      <c r="B320" s="2" t="s">
        <v>2828</v>
      </c>
      <c r="C320" s="2" t="s">
        <v>2829</v>
      </c>
      <c r="D320" s="2" t="s">
        <v>2827</v>
      </c>
      <c r="E320" s="2" t="s">
        <v>856</v>
      </c>
      <c r="F320" s="3">
        <v>43374</v>
      </c>
      <c r="G320" s="2" t="str">
        <f>"9780295743264"</f>
        <v>9780295743264</v>
      </c>
      <c r="H320" s="2" t="s">
        <v>14</v>
      </c>
      <c r="I320" s="4">
        <v>43851.581250000003</v>
      </c>
      <c r="J320" s="2" t="s">
        <v>2830</v>
      </c>
    </row>
    <row r="321" spans="1:10" ht="135" x14ac:dyDescent="0.25">
      <c r="A321" s="2" t="s">
        <v>24</v>
      </c>
      <c r="B321" s="2">
        <v>791.43615</v>
      </c>
      <c r="C321" s="2" t="s">
        <v>3670</v>
      </c>
      <c r="D321" s="2" t="s">
        <v>3669</v>
      </c>
      <c r="E321" s="2" t="s">
        <v>526</v>
      </c>
      <c r="F321" s="3">
        <v>42437</v>
      </c>
      <c r="G321" s="2" t="str">
        <f>"9781477310113"</f>
        <v>9781477310113</v>
      </c>
      <c r="H321" s="2" t="s">
        <v>14</v>
      </c>
      <c r="I321" s="4">
        <v>43767.729166666664</v>
      </c>
      <c r="J321" s="2" t="s">
        <v>3671</v>
      </c>
    </row>
    <row r="322" spans="1:10" ht="135" x14ac:dyDescent="0.25">
      <c r="A322" s="2" t="s">
        <v>24</v>
      </c>
      <c r="B322" s="2">
        <v>704.94600000000003</v>
      </c>
      <c r="C322" s="2" t="s">
        <v>467</v>
      </c>
      <c r="D322" s="2" t="s">
        <v>465</v>
      </c>
      <c r="E322" s="2" t="s">
        <v>466</v>
      </c>
      <c r="F322" s="3">
        <v>40862</v>
      </c>
      <c r="G322" s="2" t="str">
        <f>"9781861899767"</f>
        <v>9781861899767</v>
      </c>
      <c r="H322" s="2" t="s">
        <v>14</v>
      </c>
      <c r="I322" s="4">
        <v>44021.455555555556</v>
      </c>
      <c r="J322" s="2" t="s">
        <v>468</v>
      </c>
    </row>
    <row r="323" spans="1:10" ht="135" x14ac:dyDescent="0.25">
      <c r="A323" s="2" t="s">
        <v>24</v>
      </c>
      <c r="B323" s="2">
        <v>781.1</v>
      </c>
      <c r="D323" s="2" t="s">
        <v>7395</v>
      </c>
      <c r="E323" s="2" t="s">
        <v>69</v>
      </c>
      <c r="F323" s="3">
        <v>43349</v>
      </c>
      <c r="G323" s="2" t="str">
        <f>"9780253037992"</f>
        <v>9780253037992</v>
      </c>
      <c r="H323" s="2" t="s">
        <v>14</v>
      </c>
      <c r="I323" s="4">
        <v>43419.677083333336</v>
      </c>
      <c r="J323" s="2" t="s">
        <v>7396</v>
      </c>
    </row>
    <row r="324" spans="1:10" ht="135" x14ac:dyDescent="0.25">
      <c r="A324" s="2" t="s">
        <v>24</v>
      </c>
      <c r="B324" s="2">
        <v>791.43095400000004</v>
      </c>
      <c r="C324" s="2" t="s">
        <v>12482</v>
      </c>
      <c r="D324" s="2" t="s">
        <v>12481</v>
      </c>
      <c r="E324" s="2" t="s">
        <v>216</v>
      </c>
      <c r="F324" s="3">
        <v>42309</v>
      </c>
      <c r="G324" s="2" t="str">
        <f>"9781438458304"</f>
        <v>9781438458304</v>
      </c>
      <c r="H324" s="2" t="s">
        <v>14</v>
      </c>
      <c r="I324" s="4">
        <v>42802.720833333333</v>
      </c>
      <c r="J324" s="2" t="s">
        <v>12483</v>
      </c>
    </row>
    <row r="325" spans="1:10" ht="135" x14ac:dyDescent="0.25">
      <c r="A325" s="2" t="s">
        <v>24</v>
      </c>
      <c r="B325" s="2" t="s">
        <v>11492</v>
      </c>
      <c r="C325" s="2" t="s">
        <v>11493</v>
      </c>
      <c r="D325" s="2" t="s">
        <v>11491</v>
      </c>
      <c r="E325" s="2" t="s">
        <v>284</v>
      </c>
      <c r="F325" s="3">
        <v>42704</v>
      </c>
      <c r="G325" s="2" t="str">
        <f>"9780824856250"</f>
        <v>9780824856250</v>
      </c>
      <c r="H325" s="2" t="s">
        <v>14</v>
      </c>
      <c r="I325" s="4">
        <v>42947.615277777775</v>
      </c>
      <c r="J325" s="2" t="s">
        <v>11494</v>
      </c>
    </row>
    <row r="326" spans="1:10" ht="135" x14ac:dyDescent="0.25">
      <c r="A326" s="2" t="s">
        <v>24</v>
      </c>
      <c r="B326" s="2">
        <v>791.43658600000003</v>
      </c>
      <c r="C326" s="2" t="s">
        <v>3984</v>
      </c>
      <c r="D326" s="2" t="s">
        <v>3983</v>
      </c>
      <c r="E326" s="2" t="s">
        <v>69</v>
      </c>
      <c r="F326" s="3">
        <v>43525</v>
      </c>
      <c r="G326" s="2" t="str">
        <f>"9780253039460"</f>
        <v>9780253039460</v>
      </c>
      <c r="H326" s="2" t="s">
        <v>14</v>
      </c>
      <c r="I326" s="4">
        <v>43731.64166666667</v>
      </c>
      <c r="J326" s="2" t="s">
        <v>3985</v>
      </c>
    </row>
    <row r="327" spans="1:10" ht="135" x14ac:dyDescent="0.25">
      <c r="A327" s="2" t="s">
        <v>24</v>
      </c>
      <c r="B327" s="2">
        <v>780.96891000000005</v>
      </c>
      <c r="C327" s="2" t="s">
        <v>8099</v>
      </c>
      <c r="D327" s="2" t="s">
        <v>8098</v>
      </c>
      <c r="E327" s="2" t="s">
        <v>69</v>
      </c>
      <c r="F327" s="3">
        <v>42332</v>
      </c>
      <c r="G327" s="2" t="str">
        <f>"9780253018090"</f>
        <v>9780253018090</v>
      </c>
      <c r="H327" s="2" t="s">
        <v>14</v>
      </c>
      <c r="I327" s="4">
        <v>43353.466666666667</v>
      </c>
      <c r="J327" s="2" t="s">
        <v>8100</v>
      </c>
    </row>
    <row r="328" spans="1:10" ht="135" x14ac:dyDescent="0.25">
      <c r="A328" s="2" t="s">
        <v>24</v>
      </c>
      <c r="B328" s="2" t="s">
        <v>7833</v>
      </c>
      <c r="C328" s="2" t="s">
        <v>7834</v>
      </c>
      <c r="D328" s="2" t="s">
        <v>7832</v>
      </c>
      <c r="E328" s="2" t="s">
        <v>6276</v>
      </c>
      <c r="F328" s="3">
        <v>42556</v>
      </c>
      <c r="G328" s="2" t="str">
        <f>"9781611689464"</f>
        <v>9781611689464</v>
      </c>
      <c r="H328" s="2" t="s">
        <v>14</v>
      </c>
      <c r="I328" s="4">
        <v>43385.576388888891</v>
      </c>
      <c r="J328" s="2" t="s">
        <v>7835</v>
      </c>
    </row>
    <row r="329" spans="1:10" ht="135" x14ac:dyDescent="0.25">
      <c r="A329" s="2" t="s">
        <v>24</v>
      </c>
      <c r="B329" s="2">
        <v>791.43653800000004</v>
      </c>
      <c r="C329" s="2" t="s">
        <v>1575</v>
      </c>
      <c r="D329" s="2" t="s">
        <v>5135</v>
      </c>
      <c r="E329" s="2" t="s">
        <v>578</v>
      </c>
      <c r="F329" s="3">
        <v>43390</v>
      </c>
      <c r="G329" s="2" t="str">
        <f>"9780252050886"</f>
        <v>9780252050886</v>
      </c>
      <c r="H329" s="2" t="s">
        <v>14</v>
      </c>
      <c r="I329" s="4">
        <v>43609.838888888888</v>
      </c>
      <c r="J329" s="2" t="s">
        <v>5136</v>
      </c>
    </row>
    <row r="330" spans="1:10" ht="135" x14ac:dyDescent="0.25">
      <c r="A330" s="2" t="s">
        <v>24</v>
      </c>
      <c r="B330" s="2">
        <v>780.92</v>
      </c>
      <c r="C330" s="2" t="s">
        <v>2872</v>
      </c>
      <c r="D330" s="2" t="s">
        <v>2871</v>
      </c>
      <c r="E330" s="2" t="s">
        <v>69</v>
      </c>
      <c r="F330" s="3">
        <v>43244</v>
      </c>
      <c r="G330" s="2" t="str">
        <f>"9780253033161"</f>
        <v>9780253033161</v>
      </c>
      <c r="H330" s="2" t="s">
        <v>14</v>
      </c>
      <c r="I330" s="4">
        <v>43847.691666666666</v>
      </c>
      <c r="J330" s="2" t="s">
        <v>2873</v>
      </c>
    </row>
    <row r="331" spans="1:10" ht="135" x14ac:dyDescent="0.25">
      <c r="A331" s="2" t="s">
        <v>24</v>
      </c>
      <c r="B331" s="2" t="s">
        <v>8325</v>
      </c>
      <c r="C331" s="2" t="s">
        <v>8326</v>
      </c>
      <c r="D331" s="2" t="s">
        <v>8324</v>
      </c>
      <c r="E331" s="2" t="s">
        <v>69</v>
      </c>
      <c r="F331" s="3">
        <v>42076</v>
      </c>
      <c r="G331" s="2" t="str">
        <f>"9780861969098"</f>
        <v>9780861969098</v>
      </c>
      <c r="H331" s="2" t="s">
        <v>14</v>
      </c>
      <c r="I331" s="4">
        <v>43321.568749999999</v>
      </c>
      <c r="J331" s="2" t="s">
        <v>8327</v>
      </c>
    </row>
    <row r="332" spans="1:10" ht="150" x14ac:dyDescent="0.25">
      <c r="A332" s="2" t="s">
        <v>24</v>
      </c>
      <c r="B332" s="2">
        <v>777.09739999999999</v>
      </c>
      <c r="C332" s="2" t="s">
        <v>8675</v>
      </c>
      <c r="D332" s="2" t="s">
        <v>8674</v>
      </c>
      <c r="E332" s="2" t="s">
        <v>69</v>
      </c>
      <c r="F332" s="3">
        <v>42877</v>
      </c>
      <c r="G332" s="2" t="str">
        <f>"9780253026446"</f>
        <v>9780253026446</v>
      </c>
      <c r="H332" s="2" t="s">
        <v>14</v>
      </c>
      <c r="I332" s="4">
        <v>43270.661111111112</v>
      </c>
      <c r="J332" s="2" t="s">
        <v>8676</v>
      </c>
    </row>
    <row r="333" spans="1:10" ht="135" x14ac:dyDescent="0.25">
      <c r="A333" s="2" t="s">
        <v>24</v>
      </c>
      <c r="B333" s="2">
        <v>791.43023309199998</v>
      </c>
      <c r="C333" s="2" t="s">
        <v>4338</v>
      </c>
      <c r="D333" s="2" t="s">
        <v>4337</v>
      </c>
      <c r="E333" s="2" t="s">
        <v>2798</v>
      </c>
      <c r="F333" s="3">
        <v>41437</v>
      </c>
      <c r="G333" s="2" t="str">
        <f>"9781621039648"</f>
        <v>9781621039648</v>
      </c>
      <c r="H333" s="2" t="s">
        <v>14</v>
      </c>
      <c r="I333" s="4">
        <v>43681.697222222225</v>
      </c>
      <c r="J333" s="2" t="s">
        <v>4339</v>
      </c>
    </row>
    <row r="334" spans="1:10" ht="135" x14ac:dyDescent="0.25">
      <c r="A334" s="2" t="s">
        <v>24</v>
      </c>
      <c r="B334" s="2">
        <v>791.43617094299998</v>
      </c>
      <c r="C334" s="2" t="s">
        <v>5473</v>
      </c>
      <c r="D334" s="2" t="s">
        <v>5472</v>
      </c>
      <c r="E334" s="2" t="s">
        <v>69</v>
      </c>
      <c r="F334" s="3">
        <v>43529</v>
      </c>
      <c r="G334" s="2" t="str">
        <f>"9780253040732"</f>
        <v>9780253040732</v>
      </c>
      <c r="H334" s="2" t="s">
        <v>14</v>
      </c>
      <c r="I334" s="4">
        <v>43595.537499999999</v>
      </c>
      <c r="J334" s="2" t="s">
        <v>5474</v>
      </c>
    </row>
    <row r="335" spans="1:10" ht="135" x14ac:dyDescent="0.25">
      <c r="A335" s="2" t="s">
        <v>24</v>
      </c>
      <c r="B335" s="2">
        <v>780.92</v>
      </c>
      <c r="C335" s="2" t="s">
        <v>5316</v>
      </c>
      <c r="D335" s="2" t="s">
        <v>5315</v>
      </c>
      <c r="E335" s="2" t="s">
        <v>80</v>
      </c>
      <c r="F335" s="3">
        <v>42002</v>
      </c>
      <c r="G335" s="2" t="str">
        <f>"9783653051681"</f>
        <v>9783653051681</v>
      </c>
      <c r="H335" s="2" t="s">
        <v>14</v>
      </c>
      <c r="I335" s="4">
        <v>43605.659722222219</v>
      </c>
      <c r="J335" s="2" t="s">
        <v>5317</v>
      </c>
    </row>
    <row r="336" spans="1:10" ht="135" x14ac:dyDescent="0.25">
      <c r="A336" s="2" t="s">
        <v>24</v>
      </c>
      <c r="B336" s="2" t="s">
        <v>6651</v>
      </c>
      <c r="C336" s="2" t="s">
        <v>1575</v>
      </c>
      <c r="D336" s="2" t="s">
        <v>6908</v>
      </c>
      <c r="E336" s="2" t="s">
        <v>260</v>
      </c>
      <c r="F336" s="3">
        <v>43252</v>
      </c>
      <c r="G336" s="2" t="str">
        <f>"9781439910054"</f>
        <v>9781439910054</v>
      </c>
      <c r="H336" s="2" t="s">
        <v>14</v>
      </c>
      <c r="I336" s="4">
        <v>43477.575694444444</v>
      </c>
      <c r="J336" s="2" t="s">
        <v>6909</v>
      </c>
    </row>
    <row r="337" spans="1:10" ht="195" x14ac:dyDescent="0.25">
      <c r="A337" s="2" t="s">
        <v>24</v>
      </c>
      <c r="B337" s="2">
        <v>791.43010000000004</v>
      </c>
      <c r="C337" s="2" t="s">
        <v>2291</v>
      </c>
      <c r="D337" s="2" t="s">
        <v>2290</v>
      </c>
      <c r="E337" s="2" t="s">
        <v>216</v>
      </c>
      <c r="F337" s="3">
        <v>42979</v>
      </c>
      <c r="G337" s="2" t="str">
        <f>"9781438465920"</f>
        <v>9781438465920</v>
      </c>
      <c r="H337" s="2" t="s">
        <v>14</v>
      </c>
      <c r="I337" s="4">
        <v>43895.508333333331</v>
      </c>
      <c r="J337" s="2" t="s">
        <v>2292</v>
      </c>
    </row>
    <row r="338" spans="1:10" ht="135" x14ac:dyDescent="0.25">
      <c r="A338" s="2" t="s">
        <v>24</v>
      </c>
      <c r="B338" s="2">
        <v>741.67409780000003</v>
      </c>
      <c r="C338" s="2" t="s">
        <v>3120</v>
      </c>
      <c r="D338" s="2" t="s">
        <v>3119</v>
      </c>
      <c r="E338" s="2" t="s">
        <v>65</v>
      </c>
      <c r="F338" s="3">
        <v>43762</v>
      </c>
      <c r="G338" s="2" t="str">
        <f>"9780806165127"</f>
        <v>9780806165127</v>
      </c>
      <c r="H338" s="2" t="s">
        <v>14</v>
      </c>
      <c r="I338" s="4">
        <v>43809.584027777775</v>
      </c>
      <c r="J338" s="2" t="s">
        <v>3121</v>
      </c>
    </row>
    <row r="339" spans="1:10" ht="135" x14ac:dyDescent="0.25">
      <c r="A339" s="2" t="s">
        <v>24</v>
      </c>
      <c r="B339" s="2">
        <v>701.03</v>
      </c>
      <c r="C339" s="2" t="s">
        <v>9393</v>
      </c>
      <c r="D339" s="2" t="s">
        <v>9392</v>
      </c>
      <c r="E339" s="2" t="s">
        <v>627</v>
      </c>
      <c r="F339" s="3">
        <v>42248</v>
      </c>
      <c r="G339" s="2" t="str">
        <f>"9789633860847"</f>
        <v>9789633860847</v>
      </c>
      <c r="H339" s="2" t="s">
        <v>14</v>
      </c>
      <c r="I339" s="4">
        <v>43174.705555555556</v>
      </c>
      <c r="J339" s="2" t="s">
        <v>9394</v>
      </c>
    </row>
    <row r="340" spans="1:10" ht="135" x14ac:dyDescent="0.25">
      <c r="A340" s="2" t="s">
        <v>24</v>
      </c>
      <c r="B340" s="2" t="s">
        <v>7730</v>
      </c>
      <c r="C340" s="2" t="s">
        <v>7731</v>
      </c>
      <c r="D340" s="2" t="s">
        <v>7729</v>
      </c>
      <c r="E340" s="2" t="s">
        <v>73</v>
      </c>
      <c r="F340" s="3">
        <v>39982</v>
      </c>
      <c r="G340" s="2" t="str">
        <f>"9781452943015"</f>
        <v>9781452943015</v>
      </c>
      <c r="H340" s="2" t="s">
        <v>14</v>
      </c>
      <c r="I340" s="4">
        <v>43395.606944444444</v>
      </c>
      <c r="J340" s="2" t="s">
        <v>7732</v>
      </c>
    </row>
    <row r="341" spans="1:10" ht="135" x14ac:dyDescent="0.25">
      <c r="A341" s="2" t="s">
        <v>24</v>
      </c>
      <c r="B341" s="2" t="s">
        <v>1753</v>
      </c>
      <c r="C341" s="2" t="s">
        <v>1754</v>
      </c>
      <c r="D341" s="2" t="s">
        <v>1752</v>
      </c>
      <c r="E341" s="2" t="s">
        <v>526</v>
      </c>
      <c r="F341" s="3">
        <v>42353</v>
      </c>
      <c r="G341" s="2" t="str">
        <f>"9781477308080"</f>
        <v>9781477308080</v>
      </c>
      <c r="H341" s="2" t="s">
        <v>14</v>
      </c>
      <c r="I341" s="4">
        <v>43928.63958333333</v>
      </c>
      <c r="J341" s="2" t="s">
        <v>1755</v>
      </c>
    </row>
    <row r="342" spans="1:10" ht="135" x14ac:dyDescent="0.25">
      <c r="A342" s="2" t="s">
        <v>24</v>
      </c>
      <c r="B342" s="2">
        <v>709.66309050999996</v>
      </c>
      <c r="C342" s="2" t="s">
        <v>241</v>
      </c>
      <c r="D342" s="2" t="s">
        <v>240</v>
      </c>
      <c r="E342" s="2" t="s">
        <v>69</v>
      </c>
      <c r="F342" s="3">
        <v>42926</v>
      </c>
      <c r="G342" s="2" t="str">
        <f>"9780253026224"</f>
        <v>9780253026224</v>
      </c>
      <c r="H342" s="2" t="s">
        <v>14</v>
      </c>
      <c r="I342" s="4">
        <v>44051.402777777781</v>
      </c>
      <c r="J342" s="2" t="s">
        <v>242</v>
      </c>
    </row>
    <row r="343" spans="1:10" ht="135" x14ac:dyDescent="0.25">
      <c r="A343" s="2" t="s">
        <v>24</v>
      </c>
      <c r="B343" s="2" t="s">
        <v>5712</v>
      </c>
      <c r="C343" s="2" t="s">
        <v>5713</v>
      </c>
      <c r="D343" s="2" t="s">
        <v>5711</v>
      </c>
      <c r="E343" s="2" t="s">
        <v>221</v>
      </c>
      <c r="F343" s="3">
        <v>42005</v>
      </c>
      <c r="G343" s="2" t="str">
        <f>"9789888313280"</f>
        <v>9789888313280</v>
      </c>
      <c r="H343" s="2" t="s">
        <v>14</v>
      </c>
      <c r="I343" s="4">
        <v>43578.569444444445</v>
      </c>
      <c r="J343" s="2" t="s">
        <v>5714</v>
      </c>
    </row>
    <row r="344" spans="1:10" ht="135" x14ac:dyDescent="0.25">
      <c r="A344" s="2" t="s">
        <v>24</v>
      </c>
      <c r="B344" s="2">
        <v>791.43023309199998</v>
      </c>
      <c r="C344" s="2" t="s">
        <v>7489</v>
      </c>
      <c r="D344" s="2" t="s">
        <v>7488</v>
      </c>
      <c r="E344" s="2" t="s">
        <v>97</v>
      </c>
      <c r="F344" s="3">
        <v>42416</v>
      </c>
      <c r="G344" s="2" t="str">
        <f>"9780231850902"</f>
        <v>9780231850902</v>
      </c>
      <c r="H344" s="2" t="s">
        <v>14</v>
      </c>
      <c r="I344" s="4">
        <v>43412.806250000001</v>
      </c>
      <c r="J344" s="2" t="s">
        <v>7490</v>
      </c>
    </row>
    <row r="345" spans="1:10" ht="135" x14ac:dyDescent="0.25">
      <c r="A345" s="2" t="s">
        <v>24</v>
      </c>
      <c r="B345" s="2">
        <v>700.10799999999995</v>
      </c>
      <c r="C345" s="2" t="s">
        <v>3891</v>
      </c>
      <c r="D345" s="2" t="s">
        <v>3890</v>
      </c>
      <c r="E345" s="2" t="s">
        <v>73</v>
      </c>
      <c r="F345" s="3">
        <v>43403</v>
      </c>
      <c r="G345" s="2" t="str">
        <f>"9781452958088"</f>
        <v>9781452958088</v>
      </c>
      <c r="H345" s="2" t="s">
        <v>14</v>
      </c>
      <c r="I345" s="4">
        <v>43742.930555555555</v>
      </c>
      <c r="J345" s="2" t="s">
        <v>3892</v>
      </c>
    </row>
    <row r="346" spans="1:10" ht="135" x14ac:dyDescent="0.25">
      <c r="A346" s="2" t="s">
        <v>24</v>
      </c>
      <c r="B346" s="2" t="s">
        <v>10793</v>
      </c>
      <c r="C346" s="2" t="s">
        <v>10794</v>
      </c>
      <c r="D346" s="2" t="s">
        <v>10792</v>
      </c>
      <c r="E346" s="2" t="s">
        <v>216</v>
      </c>
      <c r="F346" s="3">
        <v>41944</v>
      </c>
      <c r="G346" s="2" t="str">
        <f>"9781438453309"</f>
        <v>9781438453309</v>
      </c>
      <c r="H346" s="2" t="s">
        <v>14</v>
      </c>
      <c r="I346" s="4">
        <v>43036.53125</v>
      </c>
      <c r="J346" s="2" t="s">
        <v>10795</v>
      </c>
    </row>
    <row r="347" spans="1:10" ht="135" x14ac:dyDescent="0.25">
      <c r="A347" s="2" t="s">
        <v>24</v>
      </c>
      <c r="B347" s="2">
        <v>780.96623</v>
      </c>
      <c r="C347" s="2" t="s">
        <v>7126</v>
      </c>
      <c r="D347" s="2" t="s">
        <v>7125</v>
      </c>
      <c r="E347" s="2" t="s">
        <v>73</v>
      </c>
      <c r="F347" s="3">
        <v>42005</v>
      </c>
      <c r="G347" s="2" t="str">
        <f>"9781452944401"</f>
        <v>9781452944401</v>
      </c>
      <c r="H347" s="2" t="s">
        <v>14</v>
      </c>
      <c r="I347" s="4">
        <v>43444.463194444441</v>
      </c>
      <c r="J347" s="2" t="s">
        <v>7127</v>
      </c>
    </row>
    <row r="348" spans="1:10" ht="135" x14ac:dyDescent="0.25">
      <c r="A348" s="2" t="s">
        <v>24</v>
      </c>
      <c r="B348" s="2">
        <v>709.2</v>
      </c>
      <c r="C348" s="2" t="s">
        <v>10561</v>
      </c>
      <c r="D348" s="2" t="s">
        <v>10560</v>
      </c>
      <c r="E348" s="2" t="s">
        <v>73</v>
      </c>
      <c r="F348" s="3">
        <v>42278</v>
      </c>
      <c r="G348" s="2" t="str">
        <f>"9781452944845"</f>
        <v>9781452944845</v>
      </c>
      <c r="H348" s="2" t="s">
        <v>14</v>
      </c>
      <c r="I348" s="4">
        <v>43049.749305555553</v>
      </c>
      <c r="J348" s="2" t="s">
        <v>10562</v>
      </c>
    </row>
    <row r="349" spans="1:10" ht="135" x14ac:dyDescent="0.25">
      <c r="A349" s="2" t="s">
        <v>24</v>
      </c>
      <c r="B349" s="2">
        <v>746.09429999999998</v>
      </c>
      <c r="C349" s="2" t="s">
        <v>7681</v>
      </c>
      <c r="D349" s="2" t="s">
        <v>7680</v>
      </c>
      <c r="E349" s="2" t="s">
        <v>73</v>
      </c>
      <c r="F349" s="3">
        <v>41944</v>
      </c>
      <c r="G349" s="2" t="str">
        <f>"9781452943237"</f>
        <v>9781452943237</v>
      </c>
      <c r="H349" s="2" t="s">
        <v>14</v>
      </c>
      <c r="I349" s="4">
        <v>43400.379166666666</v>
      </c>
      <c r="J349" s="2" t="s">
        <v>7682</v>
      </c>
    </row>
    <row r="350" spans="1:10" ht="135" x14ac:dyDescent="0.25">
      <c r="A350" s="2" t="s">
        <v>24</v>
      </c>
      <c r="B350" s="2" t="s">
        <v>6318</v>
      </c>
      <c r="C350" s="2" t="s">
        <v>763</v>
      </c>
      <c r="D350" s="2" t="s">
        <v>6317</v>
      </c>
      <c r="E350" s="2" t="s">
        <v>585</v>
      </c>
      <c r="F350" s="3">
        <v>42856</v>
      </c>
      <c r="G350" s="2" t="str">
        <f>"9780226453910"</f>
        <v>9780226453910</v>
      </c>
      <c r="H350" s="2" t="s">
        <v>14</v>
      </c>
      <c r="I350" s="4">
        <v>43525.506944444445</v>
      </c>
      <c r="J350" s="2" t="s">
        <v>6319</v>
      </c>
    </row>
    <row r="351" spans="1:10" ht="135" x14ac:dyDescent="0.25">
      <c r="A351" s="2" t="s">
        <v>24</v>
      </c>
      <c r="B351" s="2">
        <v>791.43683999999996</v>
      </c>
      <c r="C351" s="2" t="s">
        <v>13022</v>
      </c>
      <c r="D351" s="2" t="s">
        <v>13021</v>
      </c>
      <c r="E351" s="2" t="s">
        <v>73</v>
      </c>
      <c r="F351" s="3">
        <v>41456</v>
      </c>
      <c r="G351" s="2" t="str">
        <f>"9781937561567"</f>
        <v>9781937561567</v>
      </c>
      <c r="H351" s="2" t="s">
        <v>14</v>
      </c>
      <c r="I351" s="4">
        <v>42746.084027777775</v>
      </c>
      <c r="J351" s="2" t="s">
        <v>13023</v>
      </c>
    </row>
    <row r="352" spans="1:10" ht="135" x14ac:dyDescent="0.25">
      <c r="A352" s="2" t="s">
        <v>24</v>
      </c>
      <c r="B352" s="2" t="s">
        <v>12286</v>
      </c>
      <c r="C352" s="2" t="s">
        <v>12287</v>
      </c>
      <c r="D352" s="2" t="s">
        <v>12285</v>
      </c>
      <c r="E352" s="2" t="s">
        <v>73</v>
      </c>
      <c r="F352" s="3">
        <v>42355</v>
      </c>
      <c r="G352" s="2" t="str">
        <f>"9781452945248"</f>
        <v>9781452945248</v>
      </c>
      <c r="H352" s="2" t="s">
        <v>14</v>
      </c>
      <c r="I352" s="4">
        <v>42820.822222222225</v>
      </c>
      <c r="J352" s="2" t="s">
        <v>12288</v>
      </c>
    </row>
    <row r="353" spans="1:10" ht="135" x14ac:dyDescent="0.25">
      <c r="A353" s="2" t="s">
        <v>24</v>
      </c>
      <c r="B353" s="2">
        <v>791.43652996073001</v>
      </c>
      <c r="C353" s="2" t="s">
        <v>4772</v>
      </c>
      <c r="D353" s="2" t="s">
        <v>4771</v>
      </c>
      <c r="E353" s="2" t="s">
        <v>23</v>
      </c>
      <c r="F353" s="3">
        <v>42705</v>
      </c>
      <c r="G353" s="2" t="str">
        <f>"9780814340776"</f>
        <v>9780814340776</v>
      </c>
      <c r="H353" s="2" t="s">
        <v>14</v>
      </c>
      <c r="I353" s="4">
        <v>43628.54791666667</v>
      </c>
      <c r="J353" s="2" t="s">
        <v>4773</v>
      </c>
    </row>
    <row r="354" spans="1:10" ht="135" x14ac:dyDescent="0.25">
      <c r="A354" s="2" t="s">
        <v>24</v>
      </c>
      <c r="B354" s="2" t="s">
        <v>9514</v>
      </c>
      <c r="C354" s="2" t="s">
        <v>9515</v>
      </c>
      <c r="D354" s="2" t="s">
        <v>9513</v>
      </c>
      <c r="E354" s="2" t="s">
        <v>69</v>
      </c>
      <c r="F354" s="3">
        <v>42779</v>
      </c>
      <c r="G354" s="2" t="str">
        <f>"9780253024978"</f>
        <v>9780253024978</v>
      </c>
      <c r="H354" s="2" t="s">
        <v>14</v>
      </c>
      <c r="I354" s="4">
        <v>43159.640972222223</v>
      </c>
      <c r="J354" s="2" t="s">
        <v>9516</v>
      </c>
    </row>
    <row r="355" spans="1:10" ht="135" x14ac:dyDescent="0.25">
      <c r="A355" s="2" t="s">
        <v>24</v>
      </c>
      <c r="B355" s="2">
        <v>701.03</v>
      </c>
      <c r="C355" s="2" t="s">
        <v>304</v>
      </c>
      <c r="D355" s="2" t="s">
        <v>303</v>
      </c>
      <c r="E355" s="2" t="s">
        <v>221</v>
      </c>
      <c r="F355" s="3">
        <v>43676</v>
      </c>
      <c r="G355" s="2" t="str">
        <f>"9789882204294"</f>
        <v>9789882204294</v>
      </c>
      <c r="H355" s="2" t="s">
        <v>14</v>
      </c>
      <c r="I355" s="4">
        <v>44043.436805555553</v>
      </c>
      <c r="J355" s="2" t="s">
        <v>305</v>
      </c>
    </row>
    <row r="356" spans="1:10" ht="135" x14ac:dyDescent="0.25">
      <c r="A356" s="2" t="s">
        <v>24</v>
      </c>
      <c r="B356" s="2">
        <v>781.64309760000003</v>
      </c>
      <c r="C356" s="2" t="s">
        <v>5642</v>
      </c>
      <c r="D356" s="2" t="s">
        <v>5641</v>
      </c>
      <c r="E356" s="2" t="s">
        <v>156</v>
      </c>
      <c r="F356" s="3">
        <v>43010</v>
      </c>
      <c r="G356" s="2" t="str">
        <f>"9781469633688"</f>
        <v>9781469633688</v>
      </c>
      <c r="H356" s="2" t="s">
        <v>14</v>
      </c>
      <c r="I356" s="4">
        <v>43584.463888888888</v>
      </c>
      <c r="J356" s="2" t="s">
        <v>5643</v>
      </c>
    </row>
    <row r="357" spans="1:10" ht="135" x14ac:dyDescent="0.25">
      <c r="A357" s="2" t="s">
        <v>24</v>
      </c>
      <c r="B357" s="2" t="s">
        <v>5798</v>
      </c>
      <c r="C357" s="2" t="s">
        <v>5799</v>
      </c>
      <c r="D357" s="2" t="s">
        <v>5797</v>
      </c>
      <c r="E357" s="2" t="s">
        <v>69</v>
      </c>
      <c r="F357" s="3">
        <v>43322</v>
      </c>
      <c r="G357" s="2" t="str">
        <f>"9780253038432"</f>
        <v>9780253038432</v>
      </c>
      <c r="H357" s="2" t="s">
        <v>14</v>
      </c>
      <c r="I357" s="4">
        <v>43570.421527777777</v>
      </c>
      <c r="J357" s="2" t="s">
        <v>5800</v>
      </c>
    </row>
    <row r="358" spans="1:10" ht="135" x14ac:dyDescent="0.25">
      <c r="A358" s="2" t="s">
        <v>24</v>
      </c>
      <c r="B358" s="2" t="s">
        <v>7134</v>
      </c>
      <c r="C358" s="2" t="s">
        <v>7135</v>
      </c>
      <c r="D358" s="2" t="s">
        <v>7133</v>
      </c>
      <c r="E358" s="2" t="s">
        <v>310</v>
      </c>
      <c r="F358" s="3">
        <v>42010</v>
      </c>
      <c r="G358" s="2" t="str">
        <f>"9780815652878"</f>
        <v>9780815652878</v>
      </c>
      <c r="H358" s="2" t="s">
        <v>14</v>
      </c>
      <c r="I358" s="4">
        <v>43441.689583333333</v>
      </c>
      <c r="J358" s="2" t="s">
        <v>7136</v>
      </c>
    </row>
    <row r="359" spans="1:10" ht="135" x14ac:dyDescent="0.25">
      <c r="A359" s="2" t="s">
        <v>24</v>
      </c>
      <c r="B359" s="2">
        <v>782.10899600000005</v>
      </c>
      <c r="C359" s="2" t="s">
        <v>6352</v>
      </c>
      <c r="D359" s="2" t="s">
        <v>6351</v>
      </c>
      <c r="E359" s="2" t="s">
        <v>578</v>
      </c>
      <c r="F359" s="3">
        <v>43224</v>
      </c>
      <c r="G359" s="2" t="str">
        <f>"9780252050619"</f>
        <v>9780252050619</v>
      </c>
      <c r="H359" s="2" t="s">
        <v>14</v>
      </c>
      <c r="I359" s="4">
        <v>43523.057638888888</v>
      </c>
      <c r="J359" s="2" t="s">
        <v>6353</v>
      </c>
    </row>
    <row r="360" spans="1:10" ht="135" x14ac:dyDescent="0.25">
      <c r="A360" s="2" t="s">
        <v>24</v>
      </c>
      <c r="B360" s="2" t="s">
        <v>1361</v>
      </c>
      <c r="C360" s="2" t="s">
        <v>5350</v>
      </c>
      <c r="D360" s="2" t="s">
        <v>5349</v>
      </c>
      <c r="E360" s="2" t="s">
        <v>69</v>
      </c>
      <c r="F360" s="3">
        <v>43024</v>
      </c>
      <c r="G360" s="2" t="str">
        <f>"9780253029423"</f>
        <v>9780253029423</v>
      </c>
      <c r="H360" s="2" t="s">
        <v>14</v>
      </c>
      <c r="I360" s="4">
        <v>43604.525694444441</v>
      </c>
      <c r="J360" s="2" t="s">
        <v>5351</v>
      </c>
    </row>
    <row r="361" spans="1:10" ht="135" x14ac:dyDescent="0.25">
      <c r="A361" s="2" t="s">
        <v>24</v>
      </c>
      <c r="B361" s="2">
        <v>701.03</v>
      </c>
      <c r="C361" s="2" t="s">
        <v>7474</v>
      </c>
      <c r="D361" s="2" t="s">
        <v>7473</v>
      </c>
      <c r="E361" s="2" t="s">
        <v>195</v>
      </c>
      <c r="F361" s="3">
        <v>43172</v>
      </c>
      <c r="G361" s="2" t="str">
        <f>"9780816538218"</f>
        <v>9780816538218</v>
      </c>
      <c r="H361" s="2" t="s">
        <v>14</v>
      </c>
      <c r="I361" s="4">
        <v>43414.530555555553</v>
      </c>
      <c r="J361" s="2" t="s">
        <v>7475</v>
      </c>
    </row>
    <row r="362" spans="1:10" ht="135" x14ac:dyDescent="0.25">
      <c r="A362" s="2" t="s">
        <v>24</v>
      </c>
      <c r="B362" s="2" t="s">
        <v>10844</v>
      </c>
      <c r="C362" s="2" t="s">
        <v>10845</v>
      </c>
      <c r="D362" s="2" t="s">
        <v>10843</v>
      </c>
      <c r="E362" s="2" t="s">
        <v>216</v>
      </c>
      <c r="F362" s="3">
        <v>37903</v>
      </c>
      <c r="G362" s="2" t="str">
        <f>"9780791486078"</f>
        <v>9780791486078</v>
      </c>
      <c r="H362" s="2" t="s">
        <v>14</v>
      </c>
      <c r="I362" s="4">
        <v>43032.443055555559</v>
      </c>
      <c r="J362" s="2" t="s">
        <v>10846</v>
      </c>
    </row>
    <row r="363" spans="1:10" ht="135" x14ac:dyDescent="0.25">
      <c r="A363" s="2" t="s">
        <v>24</v>
      </c>
      <c r="B363" s="2">
        <v>780.92</v>
      </c>
      <c r="C363" s="2" t="s">
        <v>12736</v>
      </c>
      <c r="D363" s="2" t="s">
        <v>12735</v>
      </c>
      <c r="E363" s="2" t="s">
        <v>80</v>
      </c>
      <c r="F363" s="3">
        <v>42181</v>
      </c>
      <c r="G363" s="2" t="str">
        <f>"9783653053906"</f>
        <v>9783653053906</v>
      </c>
      <c r="H363" s="2" t="s">
        <v>14</v>
      </c>
      <c r="I363" s="4">
        <v>42778.65902777778</v>
      </c>
      <c r="J363" s="2" t="s">
        <v>12737</v>
      </c>
    </row>
    <row r="364" spans="1:10" ht="135" x14ac:dyDescent="0.25">
      <c r="A364" s="2" t="s">
        <v>24</v>
      </c>
      <c r="B364" s="2" t="s">
        <v>5556</v>
      </c>
      <c r="C364" s="2" t="s">
        <v>5557</v>
      </c>
      <c r="D364" s="2" t="s">
        <v>5555</v>
      </c>
      <c r="E364" s="2" t="s">
        <v>65</v>
      </c>
      <c r="F364" s="3">
        <v>42417</v>
      </c>
      <c r="G364" s="2" t="str">
        <f>"9780806154121"</f>
        <v>9780806154121</v>
      </c>
      <c r="H364" s="2" t="s">
        <v>14</v>
      </c>
      <c r="I364" s="4">
        <v>43590.606249999997</v>
      </c>
      <c r="J364" s="2" t="s">
        <v>5558</v>
      </c>
    </row>
    <row r="365" spans="1:10" ht="135" x14ac:dyDescent="0.25">
      <c r="A365" s="2" t="s">
        <v>24</v>
      </c>
      <c r="B365" s="2">
        <v>782.42164909747203</v>
      </c>
      <c r="C365" s="2" t="s">
        <v>7869</v>
      </c>
      <c r="D365" s="2" t="s">
        <v>7868</v>
      </c>
      <c r="E365" s="2" t="s">
        <v>156</v>
      </c>
      <c r="F365" s="3">
        <v>42983</v>
      </c>
      <c r="G365" s="2" t="str">
        <f>"9781469632773"</f>
        <v>9781469632773</v>
      </c>
      <c r="H365" s="2" t="s">
        <v>14</v>
      </c>
      <c r="I365" s="4">
        <v>43382.626388888886</v>
      </c>
      <c r="J365" s="2" t="s">
        <v>7870</v>
      </c>
    </row>
    <row r="366" spans="1:10" ht="135" x14ac:dyDescent="0.25">
      <c r="A366" s="2" t="s">
        <v>24</v>
      </c>
      <c r="B366" s="2">
        <v>700.94109032999995</v>
      </c>
      <c r="C366" s="2" t="s">
        <v>4933</v>
      </c>
      <c r="D366" s="2" t="s">
        <v>4931</v>
      </c>
      <c r="E366" s="2" t="s">
        <v>4932</v>
      </c>
      <c r="F366" s="3">
        <v>40299</v>
      </c>
      <c r="G366" s="2" t="str">
        <f>"9781443820523"</f>
        <v>9781443820523</v>
      </c>
      <c r="H366" s="2" t="s">
        <v>14</v>
      </c>
      <c r="I366" s="4">
        <v>43617.042361111111</v>
      </c>
      <c r="J366" s="2" t="s">
        <v>4934</v>
      </c>
    </row>
    <row r="367" spans="1:10" ht="150" x14ac:dyDescent="0.25">
      <c r="A367" s="2" t="s">
        <v>24</v>
      </c>
      <c r="B367" s="2">
        <v>759.95960000000002</v>
      </c>
      <c r="C367" s="2" t="s">
        <v>7574</v>
      </c>
      <c r="D367" s="2" t="s">
        <v>7573</v>
      </c>
      <c r="E367" s="2" t="s">
        <v>221</v>
      </c>
      <c r="F367" s="3">
        <v>43191</v>
      </c>
      <c r="G367" s="2" t="str">
        <f>"9789882204850"</f>
        <v>9789882204850</v>
      </c>
      <c r="H367" s="2" t="s">
        <v>14</v>
      </c>
      <c r="I367" s="4">
        <v>43408.515277777777</v>
      </c>
      <c r="J367" s="2" t="s">
        <v>7575</v>
      </c>
    </row>
    <row r="368" spans="1:10" ht="135" x14ac:dyDescent="0.25">
      <c r="A368" s="2" t="s">
        <v>24</v>
      </c>
      <c r="B368" s="2">
        <v>791.43028091999997</v>
      </c>
      <c r="C368" s="2" t="s">
        <v>8701</v>
      </c>
      <c r="D368" s="2" t="s">
        <v>8699</v>
      </c>
      <c r="E368" s="2" t="s">
        <v>8700</v>
      </c>
      <c r="F368" s="3">
        <v>41304</v>
      </c>
      <c r="G368" s="2" t="str">
        <f>"9780810887411"</f>
        <v>9780810887411</v>
      </c>
      <c r="H368" s="2" t="s">
        <v>14</v>
      </c>
      <c r="I368" s="4">
        <v>43264.587500000001</v>
      </c>
      <c r="J368" s="2" t="s">
        <v>8702</v>
      </c>
    </row>
    <row r="369" spans="1:10" ht="135" x14ac:dyDescent="0.25">
      <c r="A369" s="2" t="s">
        <v>24</v>
      </c>
      <c r="B369" s="2" t="s">
        <v>2764</v>
      </c>
      <c r="C369" s="2" t="s">
        <v>2765</v>
      </c>
      <c r="D369" s="2" t="s">
        <v>2763</v>
      </c>
      <c r="E369" s="2" t="s">
        <v>578</v>
      </c>
      <c r="F369" s="3">
        <v>42746</v>
      </c>
      <c r="G369" s="2" t="str">
        <f>"9780252099007"</f>
        <v>9780252099007</v>
      </c>
      <c r="H369" s="2" t="s">
        <v>14</v>
      </c>
      <c r="I369" s="4">
        <v>43858.861111111109</v>
      </c>
      <c r="J369" s="2" t="s">
        <v>2766</v>
      </c>
    </row>
    <row r="370" spans="1:10" ht="135" x14ac:dyDescent="0.25">
      <c r="A370" s="2" t="s">
        <v>24</v>
      </c>
      <c r="B370" s="2">
        <v>786.20920000000001</v>
      </c>
      <c r="C370" s="2" t="s">
        <v>10432</v>
      </c>
      <c r="D370" s="2" t="s">
        <v>10431</v>
      </c>
      <c r="E370" s="2" t="s">
        <v>8700</v>
      </c>
      <c r="F370" s="3">
        <v>41522</v>
      </c>
      <c r="G370" s="2" t="str">
        <f>"9780810884977"</f>
        <v>9780810884977</v>
      </c>
      <c r="H370" s="2" t="s">
        <v>14</v>
      </c>
      <c r="I370" s="4">
        <v>43058.486805555556</v>
      </c>
      <c r="J370" s="2" t="s">
        <v>10433</v>
      </c>
    </row>
    <row r="371" spans="1:10" ht="135" x14ac:dyDescent="0.25">
      <c r="A371" s="2" t="s">
        <v>24</v>
      </c>
      <c r="B371" s="2" t="s">
        <v>6371</v>
      </c>
      <c r="C371" s="2" t="s">
        <v>10493</v>
      </c>
      <c r="D371" s="2" t="s">
        <v>10492</v>
      </c>
      <c r="E371" s="2" t="s">
        <v>69</v>
      </c>
      <c r="F371" s="3">
        <v>42109</v>
      </c>
      <c r="G371" s="2" t="str">
        <f>"9780253016195"</f>
        <v>9780253016195</v>
      </c>
      <c r="H371" s="2" t="s">
        <v>14</v>
      </c>
      <c r="I371" s="4">
        <v>43054.634722222225</v>
      </c>
      <c r="J371" s="2" t="s">
        <v>10494</v>
      </c>
    </row>
    <row r="372" spans="1:10" ht="135" x14ac:dyDescent="0.25">
      <c r="A372" s="2" t="s">
        <v>24</v>
      </c>
      <c r="B372" s="2">
        <v>791.43094409046</v>
      </c>
      <c r="C372" s="2" t="s">
        <v>9668</v>
      </c>
      <c r="D372" s="2" t="s">
        <v>9667</v>
      </c>
      <c r="E372" s="2" t="s">
        <v>97</v>
      </c>
      <c r="F372" s="3">
        <v>42535</v>
      </c>
      <c r="G372" s="2" t="str">
        <f>"9780231851015"</f>
        <v>9780231851015</v>
      </c>
      <c r="H372" s="2" t="s">
        <v>14</v>
      </c>
      <c r="I372" s="4">
        <v>43139.493055555555</v>
      </c>
      <c r="J372" s="2" t="s">
        <v>9669</v>
      </c>
    </row>
    <row r="373" spans="1:10" ht="135" x14ac:dyDescent="0.25">
      <c r="A373" s="2" t="s">
        <v>24</v>
      </c>
      <c r="B373" s="2">
        <v>791.43095870000002</v>
      </c>
      <c r="C373" s="2" t="s">
        <v>6523</v>
      </c>
      <c r="D373" s="2" t="s">
        <v>6522</v>
      </c>
      <c r="E373" s="2" t="s">
        <v>69</v>
      </c>
      <c r="F373" s="3">
        <v>43466</v>
      </c>
      <c r="G373" s="2" t="str">
        <f>"9780253037855"</f>
        <v>9780253037855</v>
      </c>
      <c r="H373" s="2" t="s">
        <v>14</v>
      </c>
      <c r="I373" s="4">
        <v>43510.586111111108</v>
      </c>
      <c r="J373" s="2" t="s">
        <v>6524</v>
      </c>
    </row>
    <row r="374" spans="1:10" ht="135" x14ac:dyDescent="0.25">
      <c r="A374" s="2" t="s">
        <v>24</v>
      </c>
      <c r="B374" s="2" t="s">
        <v>11333</v>
      </c>
      <c r="C374" s="2" t="s">
        <v>12543</v>
      </c>
      <c r="D374" s="2" t="s">
        <v>12542</v>
      </c>
      <c r="E374" s="2" t="s">
        <v>526</v>
      </c>
      <c r="F374" s="3">
        <v>42024</v>
      </c>
      <c r="G374" s="2" t="str">
        <f>"9780292760981"</f>
        <v>9780292760981</v>
      </c>
      <c r="H374" s="2" t="s">
        <v>14</v>
      </c>
      <c r="I374" s="4">
        <v>42796.603472222225</v>
      </c>
      <c r="J374" s="2" t="s">
        <v>12544</v>
      </c>
    </row>
    <row r="375" spans="1:10" ht="135" x14ac:dyDescent="0.25">
      <c r="A375" s="2" t="s">
        <v>24</v>
      </c>
      <c r="B375" s="2">
        <v>791.43010000000004</v>
      </c>
      <c r="C375" s="2" t="s">
        <v>6954</v>
      </c>
      <c r="D375" s="2" t="s">
        <v>6953</v>
      </c>
      <c r="E375" s="2" t="s">
        <v>73</v>
      </c>
      <c r="F375" s="3">
        <v>42658</v>
      </c>
      <c r="G375" s="2" t="str">
        <f>"9781452951867"</f>
        <v>9781452951867</v>
      </c>
      <c r="H375" s="2" t="s">
        <v>14</v>
      </c>
      <c r="I375" s="4">
        <v>43473.467361111114</v>
      </c>
      <c r="J375" s="2" t="s">
        <v>6955</v>
      </c>
    </row>
    <row r="376" spans="1:10" ht="135" x14ac:dyDescent="0.25">
      <c r="A376" s="2" t="s">
        <v>24</v>
      </c>
      <c r="B376" s="2">
        <v>781.63095099999998</v>
      </c>
      <c r="D376" s="2" t="s">
        <v>1355</v>
      </c>
      <c r="E376" s="2" t="s">
        <v>73</v>
      </c>
      <c r="F376" s="3">
        <v>43907</v>
      </c>
      <c r="G376" s="2" t="str">
        <f>"9781452963259"</f>
        <v>9781452963259</v>
      </c>
      <c r="H376" s="2" t="s">
        <v>14</v>
      </c>
      <c r="I376" s="4">
        <v>43947.486805555556</v>
      </c>
      <c r="J376" s="2" t="s">
        <v>1356</v>
      </c>
    </row>
    <row r="377" spans="1:10" ht="135" x14ac:dyDescent="0.25">
      <c r="A377" s="2" t="s">
        <v>24</v>
      </c>
      <c r="B377" s="2" t="s">
        <v>6965</v>
      </c>
      <c r="C377" s="2" t="s">
        <v>6966</v>
      </c>
      <c r="D377" s="2" t="s">
        <v>6964</v>
      </c>
      <c r="E377" s="2" t="s">
        <v>69</v>
      </c>
      <c r="F377" s="3">
        <v>41754</v>
      </c>
      <c r="G377" s="2" t="str">
        <f>"9780253011640"</f>
        <v>9780253011640</v>
      </c>
      <c r="H377" s="2" t="s">
        <v>14</v>
      </c>
      <c r="I377" s="4">
        <v>43472.509722222225</v>
      </c>
      <c r="J377" s="2" t="s">
        <v>6967</v>
      </c>
    </row>
    <row r="378" spans="1:10" ht="195" x14ac:dyDescent="0.25">
      <c r="A378" s="2" t="s">
        <v>24</v>
      </c>
      <c r="B378" s="2">
        <v>759.7</v>
      </c>
      <c r="C378" s="2" t="s">
        <v>10053</v>
      </c>
      <c r="D378" s="2" t="s">
        <v>10052</v>
      </c>
      <c r="E378" s="2" t="s">
        <v>54</v>
      </c>
      <c r="F378" s="3">
        <v>41724</v>
      </c>
      <c r="G378" s="2" t="str">
        <f>"9780804789233"</f>
        <v>9780804789233</v>
      </c>
      <c r="H378" s="2" t="s">
        <v>14</v>
      </c>
      <c r="I378" s="4">
        <v>43106.863194444442</v>
      </c>
      <c r="J378" s="2" t="s">
        <v>10054</v>
      </c>
    </row>
    <row r="379" spans="1:10" ht="135" x14ac:dyDescent="0.25">
      <c r="A379" s="2" t="s">
        <v>24</v>
      </c>
      <c r="B379" s="2">
        <v>791.43656099999998</v>
      </c>
      <c r="C379" s="2" t="s">
        <v>7040</v>
      </c>
      <c r="D379" s="2" t="s">
        <v>7039</v>
      </c>
      <c r="E379" s="2" t="s">
        <v>69</v>
      </c>
      <c r="F379" s="3">
        <v>43389</v>
      </c>
      <c r="G379" s="2" t="str">
        <f>"9780253033680"</f>
        <v>9780253033680</v>
      </c>
      <c r="H379" s="2" t="s">
        <v>14</v>
      </c>
      <c r="I379" s="4">
        <v>43456.4375</v>
      </c>
      <c r="J379" s="2" t="s">
        <v>7041</v>
      </c>
    </row>
    <row r="380" spans="1:10" ht="135" x14ac:dyDescent="0.25">
      <c r="A380" s="2" t="s">
        <v>24</v>
      </c>
      <c r="B380" s="2" t="s">
        <v>3269</v>
      </c>
      <c r="C380" s="2" t="s">
        <v>3270</v>
      </c>
      <c r="D380" s="2" t="s">
        <v>3268</v>
      </c>
      <c r="E380" s="2" t="s">
        <v>156</v>
      </c>
      <c r="F380" s="3">
        <v>42086</v>
      </c>
      <c r="G380" s="2" t="str">
        <f>"9781469623245"</f>
        <v>9781469623245</v>
      </c>
      <c r="H380" s="2" t="s">
        <v>14</v>
      </c>
      <c r="I380" s="4">
        <v>43794.713888888888</v>
      </c>
      <c r="J380" s="2" t="s">
        <v>3271</v>
      </c>
    </row>
    <row r="381" spans="1:10" ht="150" x14ac:dyDescent="0.25">
      <c r="A381" s="2" t="s">
        <v>24</v>
      </c>
      <c r="B381" s="2" t="s">
        <v>11523</v>
      </c>
      <c r="C381" s="2" t="s">
        <v>11524</v>
      </c>
      <c r="D381" s="2" t="s">
        <v>11522</v>
      </c>
      <c r="E381" s="2" t="s">
        <v>195</v>
      </c>
      <c r="F381" s="3">
        <v>41942</v>
      </c>
      <c r="G381" s="2" t="str">
        <f>"9780816598564"</f>
        <v>9780816598564</v>
      </c>
      <c r="H381" s="2" t="s">
        <v>14</v>
      </c>
      <c r="I381" s="4">
        <v>42939.810416666667</v>
      </c>
      <c r="J381" s="2" t="s">
        <v>11525</v>
      </c>
    </row>
    <row r="382" spans="1:10" ht="135" x14ac:dyDescent="0.25">
      <c r="A382" s="2" t="s">
        <v>24</v>
      </c>
      <c r="B382" s="2">
        <v>781.64097300000003</v>
      </c>
      <c r="C382" s="2" t="s">
        <v>9518</v>
      </c>
      <c r="D382" s="2" t="s">
        <v>9517</v>
      </c>
      <c r="E382" s="2" t="s">
        <v>8700</v>
      </c>
      <c r="F382" s="3">
        <v>41484</v>
      </c>
      <c r="G382" s="2" t="str">
        <f>"9780810888289"</f>
        <v>9780810888289</v>
      </c>
      <c r="H382" s="2" t="s">
        <v>14</v>
      </c>
      <c r="I382" s="4">
        <v>43159.531944444447</v>
      </c>
      <c r="J382" s="2" t="s">
        <v>9519</v>
      </c>
    </row>
    <row r="383" spans="1:10" ht="135" x14ac:dyDescent="0.25">
      <c r="A383" s="2" t="s">
        <v>24</v>
      </c>
      <c r="B383" s="2">
        <v>780.98</v>
      </c>
      <c r="C383" s="2" t="s">
        <v>6173</v>
      </c>
      <c r="D383" s="2" t="s">
        <v>6172</v>
      </c>
      <c r="E383" s="2" t="s">
        <v>164</v>
      </c>
      <c r="F383" s="3">
        <v>43388</v>
      </c>
      <c r="G383" s="2" t="str">
        <f>"9780826359766"</f>
        <v>9780826359766</v>
      </c>
      <c r="H383" s="2" t="s">
        <v>14</v>
      </c>
      <c r="I383" s="4">
        <v>43535.455555555556</v>
      </c>
      <c r="J383" s="2" t="s">
        <v>6174</v>
      </c>
    </row>
    <row r="384" spans="1:10" ht="150" x14ac:dyDescent="0.25">
      <c r="A384" s="2" t="s">
        <v>24</v>
      </c>
      <c r="B384" s="2" t="s">
        <v>527</v>
      </c>
      <c r="C384" s="2" t="s">
        <v>528</v>
      </c>
      <c r="D384" s="2" t="s">
        <v>525</v>
      </c>
      <c r="E384" s="2" t="s">
        <v>526</v>
      </c>
      <c r="F384" s="3">
        <v>42444</v>
      </c>
      <c r="G384" s="2" t="str">
        <f>"9781477308189"</f>
        <v>9781477308189</v>
      </c>
      <c r="H384" s="2" t="s">
        <v>14</v>
      </c>
      <c r="I384" s="4">
        <v>44015.829861111109</v>
      </c>
      <c r="J384" s="2" t="s">
        <v>529</v>
      </c>
    </row>
    <row r="385" spans="1:10" ht="135" x14ac:dyDescent="0.25">
      <c r="A385" s="2" t="s">
        <v>24</v>
      </c>
      <c r="B385" s="2" t="s">
        <v>3789</v>
      </c>
      <c r="C385" s="2" t="s">
        <v>3790</v>
      </c>
      <c r="D385" s="2" t="s">
        <v>3788</v>
      </c>
      <c r="E385" s="2" t="s">
        <v>54</v>
      </c>
      <c r="F385" s="3">
        <v>42480</v>
      </c>
      <c r="G385" s="2" t="str">
        <f>"9780804798150"</f>
        <v>9780804798150</v>
      </c>
      <c r="H385" s="2" t="s">
        <v>14</v>
      </c>
      <c r="I385" s="4">
        <v>43754.845833333333</v>
      </c>
      <c r="J385" s="2" t="s">
        <v>3791</v>
      </c>
    </row>
    <row r="386" spans="1:10" ht="135" x14ac:dyDescent="0.25">
      <c r="A386" s="2" t="s">
        <v>24</v>
      </c>
      <c r="B386" s="2" t="s">
        <v>12754</v>
      </c>
      <c r="C386" s="2" t="s">
        <v>12755</v>
      </c>
      <c r="D386" s="2" t="s">
        <v>12753</v>
      </c>
      <c r="E386" s="2" t="s">
        <v>69</v>
      </c>
      <c r="F386" s="3">
        <v>41645</v>
      </c>
      <c r="G386" s="2" t="str">
        <f>"9780253011084"</f>
        <v>9780253011084</v>
      </c>
      <c r="H386" s="2" t="s">
        <v>14</v>
      </c>
      <c r="I386" s="4">
        <v>42777.536111111112</v>
      </c>
      <c r="J386" s="2" t="s">
        <v>12756</v>
      </c>
    </row>
    <row r="387" spans="1:10" ht="135" x14ac:dyDescent="0.25">
      <c r="A387" s="2" t="s">
        <v>24</v>
      </c>
      <c r="B387" s="2" t="s">
        <v>12319</v>
      </c>
      <c r="C387" s="2" t="s">
        <v>12320</v>
      </c>
      <c r="D387" s="2" t="s">
        <v>12318</v>
      </c>
      <c r="E387" s="2" t="s">
        <v>156</v>
      </c>
      <c r="F387" s="3">
        <v>42625</v>
      </c>
      <c r="G387" s="2" t="str">
        <f>"9781469628837"</f>
        <v>9781469628837</v>
      </c>
      <c r="H387" s="2" t="s">
        <v>14</v>
      </c>
      <c r="I387" s="4">
        <v>42816.279861111114</v>
      </c>
      <c r="J387" s="2" t="s">
        <v>12321</v>
      </c>
    </row>
    <row r="388" spans="1:10" ht="135" x14ac:dyDescent="0.25">
      <c r="A388" s="2" t="s">
        <v>24</v>
      </c>
      <c r="B388" s="2">
        <v>791.43651999999997</v>
      </c>
      <c r="C388" s="2" t="s">
        <v>2207</v>
      </c>
      <c r="D388" s="2" t="s">
        <v>2206</v>
      </c>
      <c r="E388" s="2" t="s">
        <v>69</v>
      </c>
      <c r="F388" s="3">
        <v>42658</v>
      </c>
      <c r="G388" s="2" t="str">
        <f>"9780253022585"</f>
        <v>9780253022585</v>
      </c>
      <c r="H388" s="2" t="s">
        <v>14</v>
      </c>
      <c r="I388" s="4">
        <v>43901.738194444442</v>
      </c>
      <c r="J388" s="2" t="s">
        <v>2208</v>
      </c>
    </row>
    <row r="389" spans="1:10" ht="135" x14ac:dyDescent="0.25">
      <c r="A389" s="2" t="s">
        <v>24</v>
      </c>
      <c r="B389" s="2" t="s">
        <v>5388</v>
      </c>
      <c r="C389" s="2" t="s">
        <v>5389</v>
      </c>
      <c r="D389" s="2" t="s">
        <v>5387</v>
      </c>
      <c r="E389" s="2" t="s">
        <v>216</v>
      </c>
      <c r="F389" s="3">
        <v>42546</v>
      </c>
      <c r="G389" s="2" t="str">
        <f>"9781438460871"</f>
        <v>9781438460871</v>
      </c>
      <c r="H389" s="2" t="s">
        <v>14</v>
      </c>
      <c r="I389" s="4">
        <v>43602.519444444442</v>
      </c>
      <c r="J389" s="2" t="s">
        <v>5390</v>
      </c>
    </row>
    <row r="390" spans="1:10" ht="135" x14ac:dyDescent="0.25">
      <c r="A390" s="2" t="s">
        <v>24</v>
      </c>
      <c r="B390" s="2" t="s">
        <v>1942</v>
      </c>
      <c r="C390" s="2" t="s">
        <v>1575</v>
      </c>
      <c r="D390" s="2" t="s">
        <v>1941</v>
      </c>
      <c r="E390" s="2" t="s">
        <v>578</v>
      </c>
      <c r="F390" s="3">
        <v>42250</v>
      </c>
      <c r="G390" s="2" t="str">
        <f>"9780252097775"</f>
        <v>9780252097775</v>
      </c>
      <c r="H390" s="2" t="s">
        <v>14</v>
      </c>
      <c r="I390" s="4">
        <v>43920.635416666664</v>
      </c>
      <c r="J390" s="2" t="s">
        <v>1943</v>
      </c>
    </row>
    <row r="391" spans="1:10" ht="135" x14ac:dyDescent="0.25">
      <c r="A391" s="2" t="s">
        <v>24</v>
      </c>
      <c r="B391" s="2">
        <v>782.42164209199996</v>
      </c>
      <c r="C391" s="2" t="s">
        <v>1757</v>
      </c>
      <c r="D391" s="2" t="s">
        <v>1756</v>
      </c>
      <c r="E391" s="2" t="s">
        <v>69</v>
      </c>
      <c r="F391" s="3">
        <v>43106</v>
      </c>
      <c r="G391" s="2" t="str">
        <f>"9780253031563"</f>
        <v>9780253031563</v>
      </c>
      <c r="H391" s="2" t="s">
        <v>14</v>
      </c>
      <c r="I391" s="4">
        <v>43928.626388888886</v>
      </c>
      <c r="J391" s="2" t="s">
        <v>1758</v>
      </c>
    </row>
    <row r="392" spans="1:10" ht="135" x14ac:dyDescent="0.25">
      <c r="A392" s="2" t="s">
        <v>24</v>
      </c>
      <c r="B392" s="2" t="s">
        <v>10793</v>
      </c>
      <c r="C392" s="2" t="s">
        <v>12920</v>
      </c>
      <c r="D392" s="2" t="s">
        <v>12919</v>
      </c>
      <c r="E392" s="2" t="s">
        <v>526</v>
      </c>
      <c r="F392" s="3">
        <v>42095</v>
      </c>
      <c r="G392" s="2" t="str">
        <f>"9781477302415"</f>
        <v>9781477302415</v>
      </c>
      <c r="H392" s="2" t="s">
        <v>14</v>
      </c>
      <c r="I392" s="4">
        <v>42758.77847222222</v>
      </c>
      <c r="J392" s="2" t="s">
        <v>12921</v>
      </c>
    </row>
    <row r="393" spans="1:10" ht="135" x14ac:dyDescent="0.25">
      <c r="A393" s="2" t="s">
        <v>24</v>
      </c>
      <c r="B393" s="2">
        <v>791.43095400000004</v>
      </c>
      <c r="C393" s="2" t="s">
        <v>6222</v>
      </c>
      <c r="D393" s="2" t="s">
        <v>6899</v>
      </c>
      <c r="E393" s="2" t="s">
        <v>260</v>
      </c>
      <c r="F393" s="3">
        <v>42221</v>
      </c>
      <c r="G393" s="2" t="str">
        <f>"9781439910658"</f>
        <v>9781439910658</v>
      </c>
      <c r="H393" s="2" t="s">
        <v>14</v>
      </c>
      <c r="I393" s="4">
        <v>43477.663888888892</v>
      </c>
      <c r="J393" s="2" t="s">
        <v>6900</v>
      </c>
    </row>
    <row r="394" spans="1:10" ht="135" x14ac:dyDescent="0.25">
      <c r="A394" s="2" t="s">
        <v>24</v>
      </c>
      <c r="B394" s="2">
        <v>782.42164091999996</v>
      </c>
      <c r="C394" s="2" t="s">
        <v>7178</v>
      </c>
      <c r="D394" s="2" t="s">
        <v>7177</v>
      </c>
      <c r="E394" s="2" t="s">
        <v>1257</v>
      </c>
      <c r="F394" s="3">
        <v>43221</v>
      </c>
      <c r="G394" s="2" t="str">
        <f>"9780912777436"</f>
        <v>9780912777436</v>
      </c>
      <c r="H394" s="2" t="s">
        <v>14</v>
      </c>
      <c r="I394" s="4">
        <v>43438.456944444442</v>
      </c>
      <c r="J394" s="2" t="s">
        <v>7179</v>
      </c>
    </row>
    <row r="395" spans="1:10" ht="135" x14ac:dyDescent="0.25">
      <c r="A395" s="2" t="s">
        <v>24</v>
      </c>
      <c r="B395" s="2" t="s">
        <v>5497</v>
      </c>
      <c r="C395" s="2" t="s">
        <v>5498</v>
      </c>
      <c r="D395" s="2" t="s">
        <v>5496</v>
      </c>
      <c r="E395" s="2" t="s">
        <v>69</v>
      </c>
      <c r="F395" s="3">
        <v>39799</v>
      </c>
      <c r="G395" s="2" t="str">
        <f>"9780861969159"</f>
        <v>9780861969159</v>
      </c>
      <c r="H395" s="2" t="s">
        <v>14</v>
      </c>
      <c r="I395" s="4">
        <v>43594.563194444447</v>
      </c>
      <c r="J395" s="2" t="s">
        <v>5499</v>
      </c>
    </row>
    <row r="396" spans="1:10" ht="135" x14ac:dyDescent="0.25">
      <c r="A396" s="2" t="s">
        <v>24</v>
      </c>
      <c r="B396" s="2">
        <v>791.4309509034</v>
      </c>
      <c r="C396" s="2" t="s">
        <v>1040</v>
      </c>
      <c r="D396" s="2" t="s">
        <v>1039</v>
      </c>
      <c r="E396" s="2" t="s">
        <v>69</v>
      </c>
      <c r="F396" s="3">
        <v>43017</v>
      </c>
      <c r="G396" s="2" t="str">
        <f>"9780253027283"</f>
        <v>9780253027283</v>
      </c>
      <c r="H396" s="2" t="s">
        <v>14</v>
      </c>
      <c r="I396" s="4">
        <v>43967.974305555559</v>
      </c>
      <c r="J396" s="2" t="s">
        <v>1041</v>
      </c>
    </row>
    <row r="397" spans="1:10" ht="135" x14ac:dyDescent="0.25">
      <c r="A397" s="2" t="s">
        <v>24</v>
      </c>
      <c r="B397" s="2" t="s">
        <v>8028</v>
      </c>
      <c r="C397" s="2" t="s">
        <v>8029</v>
      </c>
      <c r="D397" s="2" t="s">
        <v>8027</v>
      </c>
      <c r="E397" s="2" t="s">
        <v>526</v>
      </c>
      <c r="F397" s="3">
        <v>20486</v>
      </c>
      <c r="G397" s="2" t="str">
        <f>"9781477307830"</f>
        <v>9781477307830</v>
      </c>
      <c r="H397" s="2" t="s">
        <v>14</v>
      </c>
      <c r="I397" s="4">
        <v>43363.390277777777</v>
      </c>
      <c r="J397" s="2" t="s">
        <v>8030</v>
      </c>
    </row>
    <row r="398" spans="1:10" ht="135" x14ac:dyDescent="0.25">
      <c r="A398" s="2" t="s">
        <v>24</v>
      </c>
      <c r="B398" s="2" t="s">
        <v>719</v>
      </c>
      <c r="C398" s="2" t="s">
        <v>763</v>
      </c>
      <c r="D398" s="2" t="s">
        <v>12359</v>
      </c>
      <c r="E398" s="2" t="s">
        <v>578</v>
      </c>
      <c r="F398" s="3">
        <v>40603</v>
      </c>
      <c r="G398" s="2" t="str">
        <f>"9780252093128"</f>
        <v>9780252093128</v>
      </c>
      <c r="H398" s="2" t="s">
        <v>14</v>
      </c>
      <c r="I398" s="4">
        <v>42814.6</v>
      </c>
      <c r="J398" s="2" t="s">
        <v>12360</v>
      </c>
    </row>
    <row r="399" spans="1:10" ht="135" x14ac:dyDescent="0.25">
      <c r="A399" s="2" t="s">
        <v>24</v>
      </c>
      <c r="B399" s="2" t="s">
        <v>1361</v>
      </c>
      <c r="C399" s="2" t="s">
        <v>1365</v>
      </c>
      <c r="D399" s="2" t="s">
        <v>2774</v>
      </c>
      <c r="E399" s="2" t="s">
        <v>578</v>
      </c>
      <c r="F399" s="3">
        <v>41976</v>
      </c>
      <c r="G399" s="2" t="str">
        <f>"9780252096853"</f>
        <v>9780252096853</v>
      </c>
      <c r="H399" s="2" t="s">
        <v>14</v>
      </c>
      <c r="I399" s="4">
        <v>43856.698611111111</v>
      </c>
      <c r="J399" s="2" t="s">
        <v>2775</v>
      </c>
    </row>
    <row r="400" spans="1:10" ht="150" x14ac:dyDescent="0.25">
      <c r="A400" s="2" t="s">
        <v>24</v>
      </c>
      <c r="B400" s="2">
        <v>709.5109033</v>
      </c>
      <c r="D400" s="2" t="s">
        <v>900</v>
      </c>
      <c r="E400" s="2" t="s">
        <v>221</v>
      </c>
      <c r="F400" s="3">
        <v>43804</v>
      </c>
      <c r="G400" s="2" t="str">
        <f>"9789882204515"</f>
        <v>9789882204515</v>
      </c>
      <c r="H400" s="2" t="s">
        <v>14</v>
      </c>
      <c r="I400" s="4">
        <v>43976.723611111112</v>
      </c>
      <c r="J400" s="2" t="s">
        <v>901</v>
      </c>
    </row>
    <row r="401" spans="1:10" ht="135" x14ac:dyDescent="0.25">
      <c r="A401" s="2" t="s">
        <v>24</v>
      </c>
      <c r="B401" s="2" t="s">
        <v>1361</v>
      </c>
      <c r="C401" s="2" t="s">
        <v>11813</v>
      </c>
      <c r="D401" s="2" t="s">
        <v>11812</v>
      </c>
      <c r="E401" s="2" t="s">
        <v>216</v>
      </c>
      <c r="F401" s="3">
        <v>42522</v>
      </c>
      <c r="G401" s="2" t="str">
        <f>"9781438460642"</f>
        <v>9781438460642</v>
      </c>
      <c r="H401" s="2" t="s">
        <v>14</v>
      </c>
      <c r="I401" s="4">
        <v>42887.569444444445</v>
      </c>
      <c r="J401" s="2" t="s">
        <v>11814</v>
      </c>
    </row>
    <row r="402" spans="1:10" ht="135" x14ac:dyDescent="0.25">
      <c r="A402" s="2" t="s">
        <v>24</v>
      </c>
      <c r="B402" s="2" t="s">
        <v>11283</v>
      </c>
      <c r="C402" s="2" t="s">
        <v>11284</v>
      </c>
      <c r="D402" s="2" t="s">
        <v>11282</v>
      </c>
      <c r="E402" s="2" t="s">
        <v>578</v>
      </c>
      <c r="F402" s="3">
        <v>42885</v>
      </c>
      <c r="G402" s="2" t="str">
        <f>"9780252099656"</f>
        <v>9780252099656</v>
      </c>
      <c r="H402" s="2" t="s">
        <v>14</v>
      </c>
      <c r="I402" s="4">
        <v>42994.526388888888</v>
      </c>
      <c r="J402" s="2" t="s">
        <v>11285</v>
      </c>
    </row>
    <row r="403" spans="1:10" ht="135" x14ac:dyDescent="0.25">
      <c r="A403" s="2" t="s">
        <v>24</v>
      </c>
      <c r="B403" s="2">
        <v>780.1</v>
      </c>
      <c r="C403" s="2" t="s">
        <v>772</v>
      </c>
      <c r="D403" s="2" t="s">
        <v>771</v>
      </c>
      <c r="E403" s="2" t="s">
        <v>521</v>
      </c>
      <c r="F403" s="3">
        <v>43174</v>
      </c>
      <c r="G403" s="2" t="str">
        <f>"9789461662316"</f>
        <v>9789461662316</v>
      </c>
      <c r="H403" s="2" t="s">
        <v>14</v>
      </c>
      <c r="I403" s="4">
        <v>43988.549305555556</v>
      </c>
      <c r="J403" s="2" t="s">
        <v>773</v>
      </c>
    </row>
    <row r="404" spans="1:10" ht="150" x14ac:dyDescent="0.25">
      <c r="A404" s="2" t="s">
        <v>24</v>
      </c>
      <c r="B404" s="2" t="s">
        <v>8072</v>
      </c>
      <c r="C404" s="2" t="s">
        <v>8073</v>
      </c>
      <c r="D404" s="2" t="s">
        <v>8071</v>
      </c>
      <c r="E404" s="2" t="s">
        <v>531</v>
      </c>
      <c r="F404" s="3">
        <v>42522</v>
      </c>
      <c r="G404" s="2" t="str">
        <f>"9780809334698"</f>
        <v>9780809334698</v>
      </c>
      <c r="H404" s="2" t="s">
        <v>14</v>
      </c>
      <c r="I404" s="4">
        <v>43357.361111111109</v>
      </c>
      <c r="J404" s="2" t="s">
        <v>8074</v>
      </c>
    </row>
    <row r="405" spans="1:10" ht="135" x14ac:dyDescent="0.25">
      <c r="A405" s="2" t="s">
        <v>24</v>
      </c>
      <c r="B405" s="2">
        <v>780.92</v>
      </c>
      <c r="C405" s="2" t="s">
        <v>763</v>
      </c>
      <c r="D405" s="2" t="s">
        <v>10767</v>
      </c>
      <c r="E405" s="2" t="s">
        <v>578</v>
      </c>
      <c r="F405" s="3">
        <v>42521</v>
      </c>
      <c r="G405" s="2" t="str">
        <f>"9780252098574"</f>
        <v>9780252098574</v>
      </c>
      <c r="H405" s="2" t="s">
        <v>14</v>
      </c>
      <c r="I405" s="4">
        <v>43038.423611111109</v>
      </c>
      <c r="J405" s="2" t="s">
        <v>10768</v>
      </c>
    </row>
    <row r="406" spans="1:10" ht="135" x14ac:dyDescent="0.25">
      <c r="A406" s="2" t="s">
        <v>24</v>
      </c>
      <c r="B406" s="2" t="s">
        <v>5756</v>
      </c>
      <c r="C406" s="2" t="s">
        <v>5757</v>
      </c>
      <c r="D406" s="2" t="s">
        <v>5755</v>
      </c>
      <c r="E406" s="2" t="s">
        <v>69</v>
      </c>
      <c r="F406" s="3">
        <v>42450</v>
      </c>
      <c r="G406" s="2" t="str">
        <f>"9780861969227"</f>
        <v>9780861969227</v>
      </c>
      <c r="H406" s="2" t="s">
        <v>14</v>
      </c>
      <c r="I406" s="4">
        <v>43573.87777777778</v>
      </c>
      <c r="J406" s="2" t="s">
        <v>5758</v>
      </c>
    </row>
    <row r="407" spans="1:10" ht="135" x14ac:dyDescent="0.25">
      <c r="A407" s="2" t="s">
        <v>24</v>
      </c>
      <c r="B407" s="2" t="s">
        <v>10612</v>
      </c>
      <c r="C407" s="2" t="s">
        <v>10613</v>
      </c>
      <c r="D407" s="2" t="s">
        <v>10611</v>
      </c>
      <c r="E407" s="2" t="s">
        <v>69</v>
      </c>
      <c r="F407" s="3">
        <v>41697</v>
      </c>
      <c r="G407" s="2" t="str">
        <f>"9780253011855"</f>
        <v>9780253011855</v>
      </c>
      <c r="H407" s="2" t="s">
        <v>14</v>
      </c>
      <c r="I407" s="4">
        <v>43047.486111111109</v>
      </c>
      <c r="J407" s="2" t="s">
        <v>10614</v>
      </c>
    </row>
    <row r="408" spans="1:10" ht="135" x14ac:dyDescent="0.25">
      <c r="A408" s="2" t="s">
        <v>24</v>
      </c>
      <c r="B408" s="2">
        <v>791.43023209199998</v>
      </c>
      <c r="C408" s="2" t="s">
        <v>6158</v>
      </c>
      <c r="D408" s="2" t="s">
        <v>6157</v>
      </c>
      <c r="E408" s="2" t="s">
        <v>69</v>
      </c>
      <c r="F408" s="3">
        <v>43474</v>
      </c>
      <c r="G408" s="2" t="str">
        <f>"9780253037893"</f>
        <v>9780253037893</v>
      </c>
      <c r="H408" s="2" t="s">
        <v>14</v>
      </c>
      <c r="I408" s="4">
        <v>43535.71875</v>
      </c>
      <c r="J408" s="2" t="s">
        <v>6159</v>
      </c>
    </row>
    <row r="409" spans="1:10" ht="135" x14ac:dyDescent="0.25">
      <c r="A409" s="2" t="s">
        <v>24</v>
      </c>
      <c r="B409" s="2">
        <v>780.92</v>
      </c>
      <c r="C409" s="2" t="s">
        <v>11195</v>
      </c>
      <c r="D409" s="2" t="s">
        <v>11194</v>
      </c>
      <c r="E409" s="2" t="s">
        <v>69</v>
      </c>
      <c r="F409" s="3">
        <v>42877</v>
      </c>
      <c r="G409" s="2" t="str">
        <f>"9780253026897"</f>
        <v>9780253026897</v>
      </c>
      <c r="H409" s="2" t="s">
        <v>14</v>
      </c>
      <c r="I409" s="4">
        <v>43007.699305555558</v>
      </c>
      <c r="J409" s="2" t="s">
        <v>11196</v>
      </c>
    </row>
    <row r="410" spans="1:10" ht="135" x14ac:dyDescent="0.25">
      <c r="A410" s="2" t="s">
        <v>24</v>
      </c>
      <c r="B410" s="2">
        <v>791.43010000000004</v>
      </c>
      <c r="C410" s="2" t="s">
        <v>11586</v>
      </c>
      <c r="D410" s="2" t="s">
        <v>11585</v>
      </c>
      <c r="E410" s="2" t="s">
        <v>73</v>
      </c>
      <c r="F410" s="3">
        <v>42815</v>
      </c>
      <c r="G410" s="2" t="str">
        <f>"9781452953458"</f>
        <v>9781452953458</v>
      </c>
      <c r="H410" s="2" t="s">
        <v>14</v>
      </c>
      <c r="I410" s="4">
        <v>42924.800000000003</v>
      </c>
      <c r="J410" s="2" t="s">
        <v>11587</v>
      </c>
    </row>
    <row r="411" spans="1:10" ht="135" x14ac:dyDescent="0.25">
      <c r="A411" s="2" t="s">
        <v>24</v>
      </c>
      <c r="B411" s="2">
        <v>791.43097299999999</v>
      </c>
      <c r="C411" s="2" t="s">
        <v>4298</v>
      </c>
      <c r="D411" s="2" t="s">
        <v>4297</v>
      </c>
      <c r="E411" s="2" t="s">
        <v>235</v>
      </c>
      <c r="F411" s="3">
        <v>41687</v>
      </c>
      <c r="G411" s="2" t="str">
        <f>"9781440801884"</f>
        <v>9781440801884</v>
      </c>
      <c r="H411" s="2" t="s">
        <v>14</v>
      </c>
      <c r="I411" s="4">
        <v>43684.587500000001</v>
      </c>
      <c r="J411" s="2" t="s">
        <v>4299</v>
      </c>
    </row>
    <row r="412" spans="1:10" ht="135" x14ac:dyDescent="0.25">
      <c r="A412" s="2" t="s">
        <v>24</v>
      </c>
      <c r="B412" s="2">
        <v>791.43025999999895</v>
      </c>
      <c r="C412" s="2" t="s">
        <v>10266</v>
      </c>
      <c r="D412" s="2" t="s">
        <v>10265</v>
      </c>
      <c r="E412" s="2" t="s">
        <v>69</v>
      </c>
      <c r="F412" s="3">
        <v>42989</v>
      </c>
      <c r="G412" s="2" t="str">
        <f>"9780253026415"</f>
        <v>9780253026415</v>
      </c>
      <c r="H412" s="2" t="s">
        <v>14</v>
      </c>
      <c r="I412" s="4">
        <v>43074.627083333333</v>
      </c>
      <c r="J412" s="2" t="s">
        <v>10267</v>
      </c>
    </row>
    <row r="413" spans="1:10" ht="135" x14ac:dyDescent="0.25">
      <c r="A413" s="2" t="s">
        <v>24</v>
      </c>
      <c r="B413" s="2">
        <v>780.89</v>
      </c>
      <c r="C413" s="2" t="s">
        <v>9160</v>
      </c>
      <c r="D413" s="2" t="s">
        <v>9159</v>
      </c>
      <c r="E413" s="2" t="s">
        <v>578</v>
      </c>
      <c r="F413" s="3">
        <v>42658</v>
      </c>
      <c r="G413" s="2" t="str">
        <f>"9780252099601"</f>
        <v>9780252099601</v>
      </c>
      <c r="H413" s="2" t="s">
        <v>14</v>
      </c>
      <c r="I413" s="4">
        <v>43207.336805555555</v>
      </c>
      <c r="J413" s="2" t="s">
        <v>9161</v>
      </c>
    </row>
    <row r="414" spans="1:10" ht="300" x14ac:dyDescent="0.25">
      <c r="A414" s="2" t="s">
        <v>24</v>
      </c>
      <c r="B414" s="2">
        <v>741</v>
      </c>
      <c r="C414" s="2" t="s">
        <v>7918</v>
      </c>
      <c r="D414" s="2" t="s">
        <v>7916</v>
      </c>
      <c r="E414" s="2" t="s">
        <v>7917</v>
      </c>
      <c r="F414" s="3">
        <v>42186</v>
      </c>
      <c r="G414" s="2" t="str">
        <f>"9783487421315"</f>
        <v>9783487421315</v>
      </c>
      <c r="H414" s="2" t="s">
        <v>14</v>
      </c>
      <c r="I414" s="4">
        <v>43376.600694444445</v>
      </c>
      <c r="J414" s="2" t="s">
        <v>7919</v>
      </c>
    </row>
    <row r="415" spans="1:10" ht="135" x14ac:dyDescent="0.25">
      <c r="A415" s="2" t="s">
        <v>24</v>
      </c>
      <c r="B415" s="2">
        <v>780</v>
      </c>
      <c r="C415" s="2" t="s">
        <v>6302</v>
      </c>
      <c r="D415" s="2" t="s">
        <v>6301</v>
      </c>
      <c r="E415" s="2" t="s">
        <v>578</v>
      </c>
      <c r="F415" s="3">
        <v>42264</v>
      </c>
      <c r="G415" s="2" t="str">
        <f>"9780252096679"</f>
        <v>9780252096679</v>
      </c>
      <c r="H415" s="2" t="s">
        <v>14</v>
      </c>
      <c r="I415" s="4">
        <v>43525.828472222223</v>
      </c>
      <c r="J415" s="2" t="s">
        <v>6303</v>
      </c>
    </row>
    <row r="416" spans="1:10" ht="135" x14ac:dyDescent="0.25">
      <c r="A416" s="2" t="s">
        <v>24</v>
      </c>
      <c r="B416" s="2">
        <v>792.70280923960695</v>
      </c>
      <c r="C416" s="2" t="s">
        <v>6735</v>
      </c>
      <c r="D416" s="2" t="s">
        <v>6734</v>
      </c>
      <c r="E416" s="2" t="s">
        <v>130</v>
      </c>
      <c r="F416" s="3">
        <v>43116</v>
      </c>
      <c r="G416" s="2" t="str">
        <f>"9780813052991"</f>
        <v>9780813052991</v>
      </c>
      <c r="H416" s="2" t="s">
        <v>14</v>
      </c>
      <c r="I416" s="4">
        <v>43490.59375</v>
      </c>
      <c r="J416" s="2" t="s">
        <v>6736</v>
      </c>
    </row>
    <row r="417" spans="1:10" ht="135" x14ac:dyDescent="0.25">
      <c r="A417" s="2" t="s">
        <v>24</v>
      </c>
      <c r="B417" s="2" t="s">
        <v>719</v>
      </c>
      <c r="C417" s="2" t="s">
        <v>763</v>
      </c>
      <c r="D417" s="2" t="s">
        <v>7316</v>
      </c>
      <c r="E417" s="2" t="s">
        <v>578</v>
      </c>
      <c r="F417" s="3">
        <v>40015</v>
      </c>
      <c r="G417" s="2" t="str">
        <f>"9780252093692"</f>
        <v>9780252093692</v>
      </c>
      <c r="H417" s="2" t="s">
        <v>14</v>
      </c>
      <c r="I417" s="4">
        <v>43425.602777777778</v>
      </c>
      <c r="J417" s="2" t="s">
        <v>7317</v>
      </c>
    </row>
    <row r="418" spans="1:10" ht="135" x14ac:dyDescent="0.25">
      <c r="A418" s="2" t="s">
        <v>24</v>
      </c>
      <c r="B418" s="2" t="s">
        <v>12127</v>
      </c>
      <c r="C418" s="2" t="s">
        <v>1365</v>
      </c>
      <c r="D418" s="2" t="s">
        <v>12126</v>
      </c>
      <c r="E418" s="2" t="s">
        <v>578</v>
      </c>
      <c r="F418" s="3">
        <v>41844</v>
      </c>
      <c r="G418" s="2" t="str">
        <f>"9780252096365"</f>
        <v>9780252096365</v>
      </c>
      <c r="H418" s="2" t="s">
        <v>14</v>
      </c>
      <c r="I418" s="4">
        <v>42846.85</v>
      </c>
      <c r="J418" s="2" t="s">
        <v>12128</v>
      </c>
    </row>
    <row r="419" spans="1:10" ht="150" x14ac:dyDescent="0.25">
      <c r="A419" s="2" t="s">
        <v>24</v>
      </c>
      <c r="B419" s="2">
        <v>782.42168094299996</v>
      </c>
      <c r="D419" s="2" t="s">
        <v>515</v>
      </c>
      <c r="E419" s="2" t="s">
        <v>69</v>
      </c>
      <c r="F419" s="3">
        <v>43956</v>
      </c>
      <c r="G419" s="2" t="str">
        <f>"9780253047038"</f>
        <v>9780253047038</v>
      </c>
      <c r="H419" s="2" t="s">
        <v>14</v>
      </c>
      <c r="I419" s="4">
        <v>44016.405555555553</v>
      </c>
      <c r="J419" s="2" t="s">
        <v>516</v>
      </c>
    </row>
    <row r="420" spans="1:10" ht="135" x14ac:dyDescent="0.25">
      <c r="A420" s="2" t="s">
        <v>24</v>
      </c>
      <c r="B420" s="2">
        <v>791.43654300000003</v>
      </c>
      <c r="C420" s="2" t="s">
        <v>6212</v>
      </c>
      <c r="D420" s="2" t="s">
        <v>6211</v>
      </c>
      <c r="E420" s="2" t="s">
        <v>216</v>
      </c>
      <c r="F420" s="3">
        <v>42895</v>
      </c>
      <c r="G420" s="2" t="str">
        <f>"9781438465531"</f>
        <v>9781438465531</v>
      </c>
      <c r="H420" s="2" t="s">
        <v>14</v>
      </c>
      <c r="I420" s="4">
        <v>43532.48541666667</v>
      </c>
      <c r="J420" s="2" t="s">
        <v>6213</v>
      </c>
    </row>
    <row r="421" spans="1:10" ht="135" x14ac:dyDescent="0.25">
      <c r="A421" s="2" t="s">
        <v>24</v>
      </c>
      <c r="B421" s="2" t="s">
        <v>7719</v>
      </c>
      <c r="C421" s="2" t="s">
        <v>7720</v>
      </c>
      <c r="D421" s="2" t="s">
        <v>7718</v>
      </c>
      <c r="E421" s="2" t="s">
        <v>216</v>
      </c>
      <c r="F421" s="3">
        <v>42430</v>
      </c>
      <c r="G421" s="2" t="str">
        <f>"9781438460086"</f>
        <v>9781438460086</v>
      </c>
      <c r="H421" s="2" t="s">
        <v>14</v>
      </c>
      <c r="I421" s="4">
        <v>43397.40347222222</v>
      </c>
      <c r="J421" s="2" t="s">
        <v>7721</v>
      </c>
    </row>
    <row r="422" spans="1:10" ht="135" x14ac:dyDescent="0.25">
      <c r="A422" s="2" t="s">
        <v>24</v>
      </c>
      <c r="B422" s="2">
        <v>738.09</v>
      </c>
      <c r="C422" s="2" t="s">
        <v>2028</v>
      </c>
      <c r="D422" s="2" t="s">
        <v>2027</v>
      </c>
      <c r="E422" s="2" t="s">
        <v>69</v>
      </c>
      <c r="F422" s="3">
        <v>43073</v>
      </c>
      <c r="G422" s="2" t="str">
        <f>"9780253031891"</f>
        <v>9780253031891</v>
      </c>
      <c r="H422" s="2" t="s">
        <v>14</v>
      </c>
      <c r="I422" s="4">
        <v>43917.504166666666</v>
      </c>
      <c r="J422" s="2" t="s">
        <v>2029</v>
      </c>
    </row>
    <row r="423" spans="1:10" ht="135" x14ac:dyDescent="0.25">
      <c r="A423" s="2" t="s">
        <v>24</v>
      </c>
      <c r="B423" s="2">
        <v>780.71</v>
      </c>
      <c r="C423" s="2" t="s">
        <v>3472</v>
      </c>
      <c r="D423" s="2" t="s">
        <v>3471</v>
      </c>
      <c r="E423" s="2" t="s">
        <v>69</v>
      </c>
      <c r="F423" s="3">
        <v>43157</v>
      </c>
      <c r="G423" s="2" t="str">
        <f>"9780253032591"</f>
        <v>9780253032591</v>
      </c>
      <c r="H423" s="2" t="s">
        <v>14</v>
      </c>
      <c r="I423" s="4">
        <v>43780.63958333333</v>
      </c>
      <c r="J423" s="2" t="s">
        <v>3473</v>
      </c>
    </row>
    <row r="424" spans="1:10" ht="135" x14ac:dyDescent="0.25">
      <c r="A424" s="2" t="s">
        <v>24</v>
      </c>
      <c r="B424" s="2" t="s">
        <v>1361</v>
      </c>
      <c r="C424" s="2" t="s">
        <v>1365</v>
      </c>
      <c r="D424" s="2" t="s">
        <v>3717</v>
      </c>
      <c r="E424" s="2" t="s">
        <v>101</v>
      </c>
      <c r="F424" s="3">
        <v>43296</v>
      </c>
      <c r="G424" s="2" t="str">
        <f>"9780810137394"</f>
        <v>9780810137394</v>
      </c>
      <c r="H424" s="2" t="s">
        <v>14</v>
      </c>
      <c r="I424" s="4">
        <v>43761.929861111108</v>
      </c>
      <c r="J424" s="2" t="s">
        <v>3718</v>
      </c>
    </row>
    <row r="425" spans="1:10" ht="135" x14ac:dyDescent="0.25">
      <c r="A425" s="2" t="s">
        <v>24</v>
      </c>
      <c r="B425" s="2" t="s">
        <v>4936</v>
      </c>
      <c r="C425" s="2" t="s">
        <v>4937</v>
      </c>
      <c r="D425" s="2" t="s">
        <v>4935</v>
      </c>
      <c r="E425" s="2" t="s">
        <v>460</v>
      </c>
      <c r="F425" s="3">
        <v>43311</v>
      </c>
      <c r="G425" s="2" t="str">
        <f>"9780773555150"</f>
        <v>9780773555150</v>
      </c>
      <c r="H425" s="2" t="s">
        <v>14</v>
      </c>
      <c r="I425" s="4">
        <v>43617.040972222225</v>
      </c>
      <c r="J425" s="2" t="s">
        <v>4938</v>
      </c>
    </row>
    <row r="426" spans="1:10" ht="135" x14ac:dyDescent="0.25">
      <c r="A426" s="2" t="s">
        <v>24</v>
      </c>
      <c r="B426" s="2">
        <v>787.95</v>
      </c>
      <c r="C426" s="2" t="s">
        <v>3105</v>
      </c>
      <c r="D426" s="2" t="s">
        <v>3104</v>
      </c>
      <c r="E426" s="2" t="s">
        <v>69</v>
      </c>
      <c r="F426" s="3">
        <v>43507</v>
      </c>
      <c r="G426" s="2" t="str">
        <f>"9780253039392"</f>
        <v>9780253039392</v>
      </c>
      <c r="H426" s="2" t="s">
        <v>14</v>
      </c>
      <c r="I426" s="4">
        <v>43811.742361111108</v>
      </c>
      <c r="J426" s="2" t="s">
        <v>3106</v>
      </c>
    </row>
    <row r="427" spans="1:10" ht="135" x14ac:dyDescent="0.25">
      <c r="A427" s="2" t="s">
        <v>24</v>
      </c>
      <c r="B427" s="2">
        <v>792.09421199999997</v>
      </c>
      <c r="C427" s="2" t="s">
        <v>13035</v>
      </c>
      <c r="D427" s="2" t="s">
        <v>13034</v>
      </c>
      <c r="E427" s="2" t="s">
        <v>4660</v>
      </c>
      <c r="F427" s="3">
        <v>41827</v>
      </c>
      <c r="G427" s="2" t="str">
        <f>"9780813164397"</f>
        <v>9780813164397</v>
      </c>
      <c r="H427" s="2" t="s">
        <v>14</v>
      </c>
      <c r="I427" s="4">
        <v>42746.084027777775</v>
      </c>
      <c r="J427" s="2" t="s">
        <v>13036</v>
      </c>
    </row>
    <row r="428" spans="1:10" ht="135" x14ac:dyDescent="0.25">
      <c r="A428" s="2" t="s">
        <v>24</v>
      </c>
      <c r="B428" s="2" t="s">
        <v>1361</v>
      </c>
      <c r="C428" s="2" t="s">
        <v>1365</v>
      </c>
      <c r="D428" s="2" t="s">
        <v>1364</v>
      </c>
      <c r="E428" s="2" t="s">
        <v>585</v>
      </c>
      <c r="F428" s="3">
        <v>42583</v>
      </c>
      <c r="G428" s="2" t="str">
        <f>"9780226374703"</f>
        <v>9780226374703</v>
      </c>
      <c r="H428" s="2" t="s">
        <v>14</v>
      </c>
      <c r="I428" s="4">
        <v>43947.449305555558</v>
      </c>
      <c r="J428" s="2" t="s">
        <v>1366</v>
      </c>
    </row>
    <row r="429" spans="1:10" ht="135" x14ac:dyDescent="0.25">
      <c r="A429" s="2" t="s">
        <v>24</v>
      </c>
      <c r="B429" s="2">
        <v>781.64909469999998</v>
      </c>
      <c r="C429" s="2" t="s">
        <v>8976</v>
      </c>
      <c r="D429" s="2" t="s">
        <v>8975</v>
      </c>
      <c r="E429" s="2" t="s">
        <v>69</v>
      </c>
      <c r="F429" s="3">
        <v>42821</v>
      </c>
      <c r="G429" s="2" t="str">
        <f>"9780253023216"</f>
        <v>9780253023216</v>
      </c>
      <c r="H429" s="2" t="s">
        <v>14</v>
      </c>
      <c r="I429" s="4">
        <v>43232.375</v>
      </c>
      <c r="J429" s="2" t="s">
        <v>8977</v>
      </c>
    </row>
    <row r="430" spans="1:10" ht="150" x14ac:dyDescent="0.25">
      <c r="A430" s="2" t="s">
        <v>24</v>
      </c>
      <c r="B430" s="2">
        <v>782.42164908996995</v>
      </c>
      <c r="C430" s="2" t="s">
        <v>3368</v>
      </c>
      <c r="D430" s="2" t="s">
        <v>3367</v>
      </c>
      <c r="E430" s="2" t="s">
        <v>216</v>
      </c>
      <c r="F430" s="3">
        <v>43191</v>
      </c>
      <c r="G430" s="2" t="str">
        <f>"9781438469478"</f>
        <v>9781438469478</v>
      </c>
      <c r="H430" s="2" t="s">
        <v>14</v>
      </c>
      <c r="I430" s="4">
        <v>43787.507638888892</v>
      </c>
      <c r="J430" s="2" t="s">
        <v>3369</v>
      </c>
    </row>
    <row r="431" spans="1:10" ht="135" x14ac:dyDescent="0.25">
      <c r="A431" s="2" t="s">
        <v>24</v>
      </c>
      <c r="B431" s="2" t="s">
        <v>1361</v>
      </c>
      <c r="C431" s="2" t="s">
        <v>12219</v>
      </c>
      <c r="D431" s="2" t="s">
        <v>12218</v>
      </c>
      <c r="E431" s="2" t="s">
        <v>216</v>
      </c>
      <c r="F431" s="3">
        <v>42767</v>
      </c>
      <c r="G431" s="2" t="str">
        <f>"9781438463865"</f>
        <v>9781438463865</v>
      </c>
      <c r="H431" s="2" t="s">
        <v>14</v>
      </c>
      <c r="I431" s="4">
        <v>42829.53402777778</v>
      </c>
      <c r="J431" s="2" t="s">
        <v>12220</v>
      </c>
    </row>
    <row r="432" spans="1:10" ht="135" x14ac:dyDescent="0.25">
      <c r="A432" s="2" t="s">
        <v>24</v>
      </c>
      <c r="B432" s="2">
        <v>791.43023309199998</v>
      </c>
      <c r="C432" s="2" t="s">
        <v>9409</v>
      </c>
      <c r="D432" s="2" t="s">
        <v>9408</v>
      </c>
      <c r="E432" s="2" t="s">
        <v>216</v>
      </c>
      <c r="F432" s="3">
        <v>41365</v>
      </c>
      <c r="G432" s="2" t="str">
        <f>"9781438445731"</f>
        <v>9781438445731</v>
      </c>
      <c r="H432" s="2" t="s">
        <v>14</v>
      </c>
      <c r="I432" s="4">
        <v>43173.632638888892</v>
      </c>
      <c r="J432" s="2" t="s">
        <v>9410</v>
      </c>
    </row>
    <row r="433" spans="1:10" ht="135" x14ac:dyDescent="0.25">
      <c r="A433" s="2" t="s">
        <v>24</v>
      </c>
      <c r="B433" s="2" t="s">
        <v>6371</v>
      </c>
      <c r="C433" s="2" t="s">
        <v>8204</v>
      </c>
      <c r="D433" s="2" t="s">
        <v>8203</v>
      </c>
      <c r="E433" s="2" t="s">
        <v>4660</v>
      </c>
      <c r="F433" s="3">
        <v>37742</v>
      </c>
      <c r="G433" s="2" t="str">
        <f>"9780813127927"</f>
        <v>9780813127927</v>
      </c>
      <c r="H433" s="2" t="s">
        <v>14</v>
      </c>
      <c r="I433" s="4">
        <v>43341.632638888892</v>
      </c>
      <c r="J433" s="2" t="s">
        <v>8205</v>
      </c>
    </row>
    <row r="434" spans="1:10" ht="135" x14ac:dyDescent="0.25">
      <c r="A434" s="2" t="s">
        <v>24</v>
      </c>
      <c r="B434" s="2">
        <v>781.63095124999904</v>
      </c>
      <c r="C434" s="2" t="s">
        <v>4723</v>
      </c>
      <c r="D434" s="2" t="s">
        <v>4722</v>
      </c>
      <c r="E434" s="2" t="s">
        <v>221</v>
      </c>
      <c r="F434" s="3">
        <v>42857</v>
      </c>
      <c r="G434" s="2" t="str">
        <f>"9789888390298"</f>
        <v>9789888390298</v>
      </c>
      <c r="H434" s="2" t="s">
        <v>14</v>
      </c>
      <c r="I434" s="4">
        <v>43634.866666666669</v>
      </c>
      <c r="J434" s="2" t="s">
        <v>4724</v>
      </c>
    </row>
    <row r="435" spans="1:10" ht="135" x14ac:dyDescent="0.25">
      <c r="A435" s="2" t="s">
        <v>24</v>
      </c>
      <c r="B435" s="2">
        <v>791.43616399999996</v>
      </c>
      <c r="D435" s="2" t="s">
        <v>1939</v>
      </c>
      <c r="E435" s="2" t="s">
        <v>69</v>
      </c>
      <c r="F435" s="3">
        <v>43872</v>
      </c>
      <c r="G435" s="2" t="str">
        <f>"9780253046598"</f>
        <v>9780253046598</v>
      </c>
      <c r="H435" s="2" t="s">
        <v>14</v>
      </c>
      <c r="I435" s="4">
        <v>43920.638888888891</v>
      </c>
      <c r="J435" s="2" t="s">
        <v>1940</v>
      </c>
    </row>
    <row r="436" spans="1:10" ht="135" x14ac:dyDescent="0.25">
      <c r="A436" s="2" t="s">
        <v>24</v>
      </c>
      <c r="B436" s="2" t="s">
        <v>11606</v>
      </c>
      <c r="C436" s="2" t="s">
        <v>11607</v>
      </c>
      <c r="D436" s="2" t="s">
        <v>11605</v>
      </c>
      <c r="E436" s="2" t="s">
        <v>54</v>
      </c>
      <c r="F436" s="3">
        <v>42473</v>
      </c>
      <c r="G436" s="2" t="str">
        <f>"9780804798587"</f>
        <v>9780804798587</v>
      </c>
      <c r="H436" s="2" t="s">
        <v>14</v>
      </c>
      <c r="I436" s="4">
        <v>42921.508333333331</v>
      </c>
      <c r="J436" s="2" t="s">
        <v>11608</v>
      </c>
    </row>
    <row r="437" spans="1:10" ht="135" x14ac:dyDescent="0.25">
      <c r="A437" s="2" t="s">
        <v>24</v>
      </c>
      <c r="B437" s="2">
        <v>791.4</v>
      </c>
      <c r="C437" s="2" t="s">
        <v>3108</v>
      </c>
      <c r="D437" s="2" t="s">
        <v>3107</v>
      </c>
      <c r="E437" s="2" t="s">
        <v>23</v>
      </c>
      <c r="F437" s="3">
        <v>41974</v>
      </c>
      <c r="G437" s="2" t="str">
        <f>"9780814339381"</f>
        <v>9780814339381</v>
      </c>
      <c r="H437" s="2" t="s">
        <v>14</v>
      </c>
      <c r="I437" s="4">
        <v>43810.847222222219</v>
      </c>
      <c r="J437" s="2" t="s">
        <v>3109</v>
      </c>
    </row>
    <row r="438" spans="1:10" ht="135" x14ac:dyDescent="0.25">
      <c r="A438" s="2" t="s">
        <v>24</v>
      </c>
      <c r="B438" s="2">
        <v>759.95100000000002</v>
      </c>
      <c r="C438" s="2" t="s">
        <v>5069</v>
      </c>
      <c r="D438" s="2" t="s">
        <v>5068</v>
      </c>
      <c r="E438" s="2" t="s">
        <v>221</v>
      </c>
      <c r="F438" s="3">
        <v>42367</v>
      </c>
      <c r="G438" s="2" t="str">
        <f>"9789888313778"</f>
        <v>9789888313778</v>
      </c>
      <c r="H438" s="2" t="s">
        <v>14</v>
      </c>
      <c r="I438" s="4">
        <v>43611.679861111108</v>
      </c>
      <c r="J438" s="2" t="s">
        <v>5070</v>
      </c>
    </row>
    <row r="439" spans="1:10" ht="135" x14ac:dyDescent="0.25">
      <c r="A439" s="2" t="s">
        <v>24</v>
      </c>
      <c r="B439" s="2">
        <v>781.11</v>
      </c>
      <c r="C439" s="2" t="s">
        <v>8913</v>
      </c>
      <c r="D439" s="2" t="s">
        <v>8912</v>
      </c>
      <c r="E439" s="2" t="s">
        <v>216</v>
      </c>
      <c r="F439" s="3">
        <v>42979</v>
      </c>
      <c r="G439" s="2" t="str">
        <f>"9781438467184"</f>
        <v>9781438467184</v>
      </c>
      <c r="H439" s="2" t="s">
        <v>14</v>
      </c>
      <c r="I439" s="4">
        <v>43240.626388888886</v>
      </c>
      <c r="J439" s="2" t="s">
        <v>8914</v>
      </c>
    </row>
    <row r="440" spans="1:10" ht="135" x14ac:dyDescent="0.25">
      <c r="A440" s="2" t="s">
        <v>24</v>
      </c>
      <c r="B440" s="2" t="s">
        <v>7112</v>
      </c>
      <c r="C440" s="2" t="s">
        <v>7113</v>
      </c>
      <c r="D440" s="2" t="s">
        <v>7111</v>
      </c>
      <c r="E440" s="2" t="s">
        <v>216</v>
      </c>
      <c r="F440" s="3">
        <v>43252</v>
      </c>
      <c r="G440" s="2" t="str">
        <f>"9781438470184"</f>
        <v>9781438470184</v>
      </c>
      <c r="H440" s="2" t="s">
        <v>14</v>
      </c>
      <c r="I440" s="4">
        <v>43446.502083333333</v>
      </c>
      <c r="J440" s="2" t="s">
        <v>7114</v>
      </c>
    </row>
    <row r="441" spans="1:10" ht="135" x14ac:dyDescent="0.25">
      <c r="A441" s="2" t="s">
        <v>24</v>
      </c>
      <c r="B441" s="2" t="s">
        <v>6601</v>
      </c>
      <c r="C441" s="2" t="s">
        <v>6602</v>
      </c>
      <c r="D441" s="2" t="s">
        <v>6600</v>
      </c>
      <c r="E441" s="2" t="s">
        <v>73</v>
      </c>
      <c r="F441" s="3">
        <v>43151</v>
      </c>
      <c r="G441" s="2" t="str">
        <f>"9781452956831"</f>
        <v>9781452956831</v>
      </c>
      <c r="H441" s="2" t="s">
        <v>14</v>
      </c>
      <c r="I441" s="4">
        <v>43504.993750000001</v>
      </c>
      <c r="J441" s="2" t="s">
        <v>6603</v>
      </c>
    </row>
    <row r="442" spans="1:10" ht="135" x14ac:dyDescent="0.25">
      <c r="A442" s="2" t="s">
        <v>24</v>
      </c>
      <c r="B442" s="2">
        <v>782.42168094299996</v>
      </c>
      <c r="C442" s="2" t="s">
        <v>6194</v>
      </c>
      <c r="D442" s="2" t="s">
        <v>6193</v>
      </c>
      <c r="E442" s="2" t="s">
        <v>69</v>
      </c>
      <c r="F442" s="3">
        <v>43353</v>
      </c>
      <c r="G442" s="2" t="str">
        <f>"9780253035790"</f>
        <v>9780253035790</v>
      </c>
      <c r="H442" s="2" t="s">
        <v>14</v>
      </c>
      <c r="I442" s="4">
        <v>43534.154166666667</v>
      </c>
      <c r="J442" s="2" t="s">
        <v>6195</v>
      </c>
    </row>
    <row r="443" spans="1:10" ht="135" x14ac:dyDescent="0.25">
      <c r="A443" s="2" t="s">
        <v>24</v>
      </c>
      <c r="B443" s="2" t="s">
        <v>1574</v>
      </c>
      <c r="C443" s="2" t="s">
        <v>1575</v>
      </c>
      <c r="D443" s="2" t="s">
        <v>11753</v>
      </c>
      <c r="E443" s="2" t="s">
        <v>578</v>
      </c>
      <c r="F443" s="3">
        <v>38806</v>
      </c>
      <c r="G443" s="2" t="str">
        <f>"9780252092411"</f>
        <v>9780252092411</v>
      </c>
      <c r="H443" s="2" t="s">
        <v>14</v>
      </c>
      <c r="I443" s="4">
        <v>42900.628472222219</v>
      </c>
      <c r="J443" s="2" t="s">
        <v>11754</v>
      </c>
    </row>
    <row r="444" spans="1:10" ht="135" x14ac:dyDescent="0.25">
      <c r="A444" s="2" t="s">
        <v>24</v>
      </c>
      <c r="B444" s="2" t="s">
        <v>8775</v>
      </c>
      <c r="C444" s="2" t="s">
        <v>8776</v>
      </c>
      <c r="D444" s="2" t="s">
        <v>8774</v>
      </c>
      <c r="E444" s="2" t="s">
        <v>216</v>
      </c>
      <c r="F444" s="3">
        <v>42546</v>
      </c>
      <c r="G444" s="2" t="str">
        <f>"9781438460819"</f>
        <v>9781438460819</v>
      </c>
      <c r="H444" s="2" t="s">
        <v>14</v>
      </c>
      <c r="I444" s="4">
        <v>43253.513194444444</v>
      </c>
      <c r="J444" s="2" t="s">
        <v>8777</v>
      </c>
    </row>
    <row r="445" spans="1:10" ht="135" x14ac:dyDescent="0.25">
      <c r="A445" s="2" t="s">
        <v>24</v>
      </c>
      <c r="B445" s="2" t="s">
        <v>5357</v>
      </c>
      <c r="C445" s="2" t="s">
        <v>5358</v>
      </c>
      <c r="D445" s="2" t="s">
        <v>5356</v>
      </c>
      <c r="E445" s="2" t="s">
        <v>69</v>
      </c>
      <c r="F445" s="3">
        <v>43474</v>
      </c>
      <c r="G445" s="2" t="str">
        <f>"9780253039491"</f>
        <v>9780253039491</v>
      </c>
      <c r="H445" s="2" t="s">
        <v>14</v>
      </c>
      <c r="I445" s="4">
        <v>43604.402777777781</v>
      </c>
      <c r="J445" s="2" t="s">
        <v>5359</v>
      </c>
    </row>
    <row r="446" spans="1:10" ht="150" x14ac:dyDescent="0.25">
      <c r="A446" s="2" t="s">
        <v>24</v>
      </c>
      <c r="B446" s="2">
        <v>791.43094499999904</v>
      </c>
      <c r="C446" s="2" t="s">
        <v>12536</v>
      </c>
      <c r="D446" s="2" t="s">
        <v>12535</v>
      </c>
      <c r="E446" s="2" t="s">
        <v>80</v>
      </c>
      <c r="F446" s="3">
        <v>42461</v>
      </c>
      <c r="G446" s="2" t="str">
        <f>"9783035308150"</f>
        <v>9783035308150</v>
      </c>
      <c r="H446" s="2" t="s">
        <v>14</v>
      </c>
      <c r="I446" s="4">
        <v>42796.638888888891</v>
      </c>
      <c r="J446" s="2" t="s">
        <v>12537</v>
      </c>
    </row>
    <row r="447" spans="1:10" ht="135" x14ac:dyDescent="0.25">
      <c r="A447" s="2" t="s">
        <v>24</v>
      </c>
      <c r="B447" s="2">
        <v>781.65116999999998</v>
      </c>
      <c r="C447" s="2" t="s">
        <v>5487</v>
      </c>
      <c r="D447" s="2" t="s">
        <v>5486</v>
      </c>
      <c r="E447" s="2" t="s">
        <v>54</v>
      </c>
      <c r="F447" s="3">
        <v>43347</v>
      </c>
      <c r="G447" s="2" t="str">
        <f>"9781503605862"</f>
        <v>9781503605862</v>
      </c>
      <c r="H447" s="2" t="s">
        <v>14</v>
      </c>
      <c r="I447" s="4">
        <v>43594.64166666667</v>
      </c>
      <c r="J447" s="2" t="s">
        <v>5488</v>
      </c>
    </row>
    <row r="448" spans="1:10" ht="165" x14ac:dyDescent="0.25">
      <c r="A448" s="2" t="s">
        <v>24</v>
      </c>
      <c r="B448" s="2">
        <v>781.650976335</v>
      </c>
      <c r="C448" s="2" t="s">
        <v>11021</v>
      </c>
      <c r="D448" s="2" t="s">
        <v>11020</v>
      </c>
      <c r="E448" s="2" t="s">
        <v>69</v>
      </c>
      <c r="F448" s="3">
        <v>42660</v>
      </c>
      <c r="G448" s="2" t="str">
        <f>"9780253025128"</f>
        <v>9780253025128</v>
      </c>
      <c r="H448" s="2" t="s">
        <v>14</v>
      </c>
      <c r="I448" s="4">
        <v>43023.419444444444</v>
      </c>
      <c r="J448" s="2" t="s">
        <v>11022</v>
      </c>
    </row>
    <row r="449" spans="1:10" ht="135" x14ac:dyDescent="0.25">
      <c r="A449" s="2" t="s">
        <v>24</v>
      </c>
      <c r="B449" s="2" t="s">
        <v>9905</v>
      </c>
      <c r="C449" s="2" t="s">
        <v>9906</v>
      </c>
      <c r="D449" s="2" t="s">
        <v>9904</v>
      </c>
      <c r="E449" s="2" t="s">
        <v>578</v>
      </c>
      <c r="F449" s="3">
        <v>42439</v>
      </c>
      <c r="G449" s="2" t="str">
        <f>"9780252098314"</f>
        <v>9780252098314</v>
      </c>
      <c r="H449" s="2" t="s">
        <v>14</v>
      </c>
      <c r="I449" s="4">
        <v>43121.949305555558</v>
      </c>
      <c r="J449" s="2" t="s">
        <v>9907</v>
      </c>
    </row>
    <row r="450" spans="1:10" ht="135" x14ac:dyDescent="0.25">
      <c r="A450" s="2" t="s">
        <v>24</v>
      </c>
      <c r="B450" s="2">
        <v>791.43023309199998</v>
      </c>
      <c r="C450" s="2" t="s">
        <v>3404</v>
      </c>
      <c r="D450" s="2" t="s">
        <v>3403</v>
      </c>
      <c r="E450" s="2" t="s">
        <v>69</v>
      </c>
      <c r="F450" s="3">
        <v>41585</v>
      </c>
      <c r="G450" s="2" t="str">
        <f>"9780253007308"</f>
        <v>9780253007308</v>
      </c>
      <c r="H450" s="2" t="s">
        <v>14</v>
      </c>
      <c r="I450" s="4">
        <v>43784.543749999997</v>
      </c>
      <c r="J450" s="2" t="s">
        <v>3405</v>
      </c>
    </row>
    <row r="451" spans="1:10" ht="135" x14ac:dyDescent="0.25">
      <c r="A451" s="2" t="s">
        <v>24</v>
      </c>
      <c r="B451" s="2">
        <v>737.09199999999998</v>
      </c>
      <c r="C451" s="2" t="s">
        <v>8544</v>
      </c>
      <c r="D451" s="2" t="s">
        <v>8543</v>
      </c>
      <c r="E451" s="2" t="s">
        <v>164</v>
      </c>
      <c r="F451" s="3">
        <v>42781</v>
      </c>
      <c r="G451" s="2" t="str">
        <f>"9780826357359"</f>
        <v>9780826357359</v>
      </c>
      <c r="H451" s="2" t="s">
        <v>14</v>
      </c>
      <c r="I451" s="4">
        <v>43290.292361111111</v>
      </c>
      <c r="J451" s="2" t="s">
        <v>8545</v>
      </c>
    </row>
    <row r="452" spans="1:10" ht="135" x14ac:dyDescent="0.25">
      <c r="A452" s="2" t="s">
        <v>24</v>
      </c>
      <c r="B452" s="2" t="s">
        <v>4206</v>
      </c>
      <c r="C452" s="2" t="s">
        <v>4207</v>
      </c>
      <c r="D452" s="2" t="s">
        <v>4205</v>
      </c>
      <c r="E452" s="2" t="s">
        <v>578</v>
      </c>
      <c r="F452" s="3">
        <v>43104</v>
      </c>
      <c r="G452" s="2" t="str">
        <f>"9780252050169"</f>
        <v>9780252050169</v>
      </c>
      <c r="H452" s="2" t="s">
        <v>14</v>
      </c>
      <c r="I452" s="4">
        <v>43694.456944444442</v>
      </c>
      <c r="J452" s="2" t="s">
        <v>4208</v>
      </c>
    </row>
    <row r="453" spans="1:10" ht="135" x14ac:dyDescent="0.25">
      <c r="A453" s="2" t="s">
        <v>24</v>
      </c>
      <c r="B453" s="2">
        <v>787.87099690000002</v>
      </c>
      <c r="C453" s="2" t="s">
        <v>3614</v>
      </c>
      <c r="D453" s="2" t="s">
        <v>3613</v>
      </c>
      <c r="E453" s="2" t="s">
        <v>156</v>
      </c>
      <c r="F453" s="3">
        <v>42506</v>
      </c>
      <c r="G453" s="2" t="str">
        <f>"9781469627946"</f>
        <v>9781469627946</v>
      </c>
      <c r="H453" s="2" t="s">
        <v>14</v>
      </c>
      <c r="I453" s="4">
        <v>43771.57708333333</v>
      </c>
      <c r="J453" s="2" t="s">
        <v>3615</v>
      </c>
    </row>
    <row r="454" spans="1:10" ht="135" x14ac:dyDescent="0.25">
      <c r="A454" s="2" t="s">
        <v>24</v>
      </c>
      <c r="B454" s="2" t="s">
        <v>6271</v>
      </c>
      <c r="C454" s="2" t="s">
        <v>1365</v>
      </c>
      <c r="D454" s="2" t="s">
        <v>6270</v>
      </c>
      <c r="E454" s="2" t="s">
        <v>578</v>
      </c>
      <c r="F454" s="3">
        <v>43419</v>
      </c>
      <c r="G454" s="2" t="str">
        <f>"9780252050879"</f>
        <v>9780252050879</v>
      </c>
      <c r="H454" s="2" t="s">
        <v>14</v>
      </c>
      <c r="I454" s="4">
        <v>43528.574305555558</v>
      </c>
      <c r="J454" s="2" t="s">
        <v>6272</v>
      </c>
    </row>
    <row r="455" spans="1:10" ht="135" x14ac:dyDescent="0.25">
      <c r="A455" s="2" t="s">
        <v>24</v>
      </c>
      <c r="B455" s="2" t="s">
        <v>1574</v>
      </c>
      <c r="C455" s="2" t="s">
        <v>5864</v>
      </c>
      <c r="D455" s="2" t="s">
        <v>5863</v>
      </c>
      <c r="E455" s="2" t="s">
        <v>164</v>
      </c>
      <c r="F455" s="3">
        <v>42887</v>
      </c>
      <c r="G455" s="2" t="str">
        <f>"9780826358288"</f>
        <v>9780826358288</v>
      </c>
      <c r="H455" s="2" t="s">
        <v>14</v>
      </c>
      <c r="I455" s="4">
        <v>43564.468055555553</v>
      </c>
      <c r="J455" s="2" t="s">
        <v>5865</v>
      </c>
    </row>
    <row r="456" spans="1:10" ht="135" x14ac:dyDescent="0.25">
      <c r="A456" s="2" t="s">
        <v>24</v>
      </c>
      <c r="B456" s="2">
        <v>709.2</v>
      </c>
      <c r="C456" s="2" t="s">
        <v>3482</v>
      </c>
      <c r="D456" s="2" t="s">
        <v>3480</v>
      </c>
      <c r="E456" s="2" t="s">
        <v>3481</v>
      </c>
      <c r="F456" s="3">
        <v>37104</v>
      </c>
      <c r="G456" s="2" t="str">
        <f>"9781775585824"</f>
        <v>9781775585824</v>
      </c>
      <c r="H456" s="2" t="s">
        <v>14</v>
      </c>
      <c r="I456" s="4">
        <v>43780.54791666667</v>
      </c>
      <c r="J456" s="2" t="s">
        <v>3483</v>
      </c>
    </row>
    <row r="457" spans="1:10" ht="135" x14ac:dyDescent="0.25">
      <c r="A457" s="2" t="s">
        <v>24</v>
      </c>
      <c r="B457" s="2">
        <v>780.95399999999995</v>
      </c>
      <c r="C457" s="2" t="s">
        <v>4509</v>
      </c>
      <c r="D457" s="2" t="s">
        <v>4508</v>
      </c>
      <c r="E457" s="2" t="s">
        <v>109</v>
      </c>
      <c r="F457" s="3">
        <v>43009</v>
      </c>
      <c r="G457" s="2" t="str">
        <f>"9780819577603"</f>
        <v>9780819577603</v>
      </c>
      <c r="H457" s="2" t="s">
        <v>14</v>
      </c>
      <c r="I457" s="4">
        <v>43656.505555555559</v>
      </c>
      <c r="J457" s="2" t="s">
        <v>4510</v>
      </c>
    </row>
    <row r="458" spans="1:10" ht="135" x14ac:dyDescent="0.25">
      <c r="A458" s="2" t="s">
        <v>24</v>
      </c>
      <c r="B458" s="2" t="s">
        <v>8823</v>
      </c>
      <c r="C458" s="2" t="s">
        <v>8824</v>
      </c>
      <c r="D458" s="2" t="s">
        <v>8822</v>
      </c>
      <c r="E458" s="2" t="s">
        <v>73</v>
      </c>
      <c r="F458" s="3">
        <v>42658</v>
      </c>
      <c r="G458" s="2" t="str">
        <f>"9781452950228"</f>
        <v>9781452950228</v>
      </c>
      <c r="H458" s="2" t="s">
        <v>14</v>
      </c>
      <c r="I458" s="4">
        <v>43250</v>
      </c>
      <c r="J458" s="2" t="s">
        <v>8825</v>
      </c>
    </row>
    <row r="459" spans="1:10" ht="135" x14ac:dyDescent="0.25">
      <c r="A459" s="2" t="s">
        <v>24</v>
      </c>
      <c r="B459" s="2" t="s">
        <v>9867</v>
      </c>
      <c r="C459" s="2" t="s">
        <v>9868</v>
      </c>
      <c r="D459" s="2" t="s">
        <v>9866</v>
      </c>
      <c r="E459" s="2" t="s">
        <v>69</v>
      </c>
      <c r="F459" s="3">
        <v>42184</v>
      </c>
      <c r="G459" s="2" t="str">
        <f>"9780253015426"</f>
        <v>9780253015426</v>
      </c>
      <c r="H459" s="2" t="s">
        <v>14</v>
      </c>
      <c r="I459" s="4">
        <v>43123.97152777778</v>
      </c>
      <c r="J459" s="2" t="s">
        <v>9869</v>
      </c>
    </row>
    <row r="460" spans="1:10" ht="135" x14ac:dyDescent="0.25">
      <c r="A460" s="2" t="s">
        <v>24</v>
      </c>
      <c r="B460" s="2" t="s">
        <v>4318</v>
      </c>
      <c r="C460" s="2" t="s">
        <v>4319</v>
      </c>
      <c r="D460" s="2" t="s">
        <v>4317</v>
      </c>
      <c r="E460" s="2" t="s">
        <v>156</v>
      </c>
      <c r="F460" s="3">
        <v>42520</v>
      </c>
      <c r="G460" s="2" t="str">
        <f>"9781469627793"</f>
        <v>9781469627793</v>
      </c>
      <c r="H460" s="2" t="s">
        <v>14</v>
      </c>
      <c r="I460" s="4">
        <v>43683.488888888889</v>
      </c>
      <c r="J460" s="2" t="s">
        <v>4320</v>
      </c>
    </row>
    <row r="461" spans="1:10" ht="135" x14ac:dyDescent="0.25">
      <c r="A461" s="2" t="s">
        <v>24</v>
      </c>
      <c r="B461" s="2" t="s">
        <v>762</v>
      </c>
      <c r="C461" s="2" t="s">
        <v>763</v>
      </c>
      <c r="D461" s="2" t="s">
        <v>761</v>
      </c>
      <c r="E461" s="2" t="s">
        <v>578</v>
      </c>
      <c r="F461" s="3">
        <v>38834</v>
      </c>
      <c r="G461" s="2" t="str">
        <f>"9780252091926"</f>
        <v>9780252091926</v>
      </c>
      <c r="H461" s="2" t="s">
        <v>14</v>
      </c>
      <c r="I461" s="4">
        <v>43990.659722222219</v>
      </c>
      <c r="J461" s="2" t="s">
        <v>764</v>
      </c>
    </row>
    <row r="462" spans="1:10" ht="135" x14ac:dyDescent="0.25">
      <c r="A462" s="2" t="s">
        <v>24</v>
      </c>
      <c r="B462" s="2" t="s">
        <v>719</v>
      </c>
      <c r="C462" s="2" t="s">
        <v>720</v>
      </c>
      <c r="D462" s="2" t="s">
        <v>718</v>
      </c>
      <c r="E462" s="2" t="s">
        <v>69</v>
      </c>
      <c r="F462" s="3">
        <v>42835</v>
      </c>
      <c r="G462" s="2" t="str">
        <f>"9780253026439"</f>
        <v>9780253026439</v>
      </c>
      <c r="H462" s="2" t="s">
        <v>14</v>
      </c>
      <c r="I462" s="4">
        <v>43996.642361111109</v>
      </c>
      <c r="J462" s="2" t="s">
        <v>721</v>
      </c>
    </row>
    <row r="463" spans="1:10" ht="135" x14ac:dyDescent="0.25">
      <c r="A463" s="2" t="s">
        <v>24</v>
      </c>
      <c r="B463" s="2">
        <v>780.92200000000003</v>
      </c>
      <c r="C463" s="2" t="s">
        <v>11527</v>
      </c>
      <c r="D463" s="2" t="s">
        <v>11526</v>
      </c>
      <c r="E463" s="2" t="s">
        <v>69</v>
      </c>
      <c r="F463" s="3">
        <v>42618</v>
      </c>
      <c r="G463" s="2" t="str">
        <f>"9780253021663"</f>
        <v>9780253021663</v>
      </c>
      <c r="H463" s="2" t="s">
        <v>14</v>
      </c>
      <c r="I463" s="4">
        <v>42939.500694444447</v>
      </c>
      <c r="J463" s="2" t="s">
        <v>11528</v>
      </c>
    </row>
    <row r="464" spans="1:10" ht="135" x14ac:dyDescent="0.25">
      <c r="A464" s="2" t="s">
        <v>24</v>
      </c>
      <c r="B464" s="2">
        <v>791.43097299999999</v>
      </c>
      <c r="D464" s="2" t="s">
        <v>8532</v>
      </c>
      <c r="E464" s="2" t="s">
        <v>69</v>
      </c>
      <c r="F464" s="3">
        <v>43123</v>
      </c>
      <c r="G464" s="2" t="str">
        <f>"9780253032546"</f>
        <v>9780253032546</v>
      </c>
      <c r="H464" s="2" t="s">
        <v>14</v>
      </c>
      <c r="I464" s="4">
        <v>43294.523611111108</v>
      </c>
      <c r="J464" s="2" t="s">
        <v>8533</v>
      </c>
    </row>
    <row r="465" spans="1:10" ht="135" x14ac:dyDescent="0.25">
      <c r="A465" s="2" t="s">
        <v>24</v>
      </c>
      <c r="B465" s="2">
        <v>791.43095209043895</v>
      </c>
      <c r="C465" s="2" t="s">
        <v>3346</v>
      </c>
      <c r="D465" s="2" t="s">
        <v>3345</v>
      </c>
      <c r="E465" s="2" t="s">
        <v>221</v>
      </c>
      <c r="F465" s="3">
        <v>42654</v>
      </c>
      <c r="G465" s="2" t="str">
        <f>"9789888390144"</f>
        <v>9789888390144</v>
      </c>
      <c r="H465" s="2" t="s">
        <v>14</v>
      </c>
      <c r="I465" s="4">
        <v>43788.767361111109</v>
      </c>
      <c r="J465" s="2" t="s">
        <v>3347</v>
      </c>
    </row>
    <row r="466" spans="1:10" ht="135" x14ac:dyDescent="0.25">
      <c r="A466" s="2" t="s">
        <v>24</v>
      </c>
      <c r="B466" s="2">
        <v>709.8</v>
      </c>
      <c r="C466" s="2" t="s">
        <v>1281</v>
      </c>
      <c r="D466" s="2" t="s">
        <v>1280</v>
      </c>
      <c r="E466" s="2" t="s">
        <v>164</v>
      </c>
      <c r="F466" s="3">
        <v>42781</v>
      </c>
      <c r="G466" s="2" t="str">
        <f>"9780826357892"</f>
        <v>9780826357892</v>
      </c>
      <c r="H466" s="2" t="s">
        <v>14</v>
      </c>
      <c r="I466" s="4">
        <v>43951.588888888888</v>
      </c>
      <c r="J466" s="2" t="s">
        <v>1282</v>
      </c>
    </row>
    <row r="467" spans="1:10" ht="135" x14ac:dyDescent="0.25">
      <c r="A467" s="2" t="s">
        <v>24</v>
      </c>
      <c r="B467" s="2" t="s">
        <v>3501</v>
      </c>
      <c r="C467" s="2" t="s">
        <v>3502</v>
      </c>
      <c r="D467" s="2" t="s">
        <v>3500</v>
      </c>
      <c r="E467" s="2" t="s">
        <v>46</v>
      </c>
      <c r="F467" s="3">
        <v>43466</v>
      </c>
      <c r="G467" s="2" t="str">
        <f>"9781496212719"</f>
        <v>9781496212719</v>
      </c>
      <c r="H467" s="2" t="s">
        <v>14</v>
      </c>
      <c r="I467" s="4">
        <v>43779.43472222222</v>
      </c>
      <c r="J467" s="2" t="s">
        <v>3503</v>
      </c>
    </row>
    <row r="468" spans="1:10" ht="135" x14ac:dyDescent="0.25">
      <c r="A468" s="2" t="s">
        <v>24</v>
      </c>
      <c r="B468" s="2" t="s">
        <v>10209</v>
      </c>
      <c r="C468" s="2" t="s">
        <v>10210</v>
      </c>
      <c r="D468" s="2" t="s">
        <v>10208</v>
      </c>
      <c r="E468" s="2" t="s">
        <v>69</v>
      </c>
      <c r="F468" s="3">
        <v>42233</v>
      </c>
      <c r="G468" s="2" t="str">
        <f>"9780253016515"</f>
        <v>9780253016515</v>
      </c>
      <c r="H468" s="2" t="s">
        <v>14</v>
      </c>
      <c r="I468" s="4">
        <v>43082.738888888889</v>
      </c>
      <c r="J468" s="2" t="s">
        <v>10211</v>
      </c>
    </row>
    <row r="469" spans="1:10" ht="135" x14ac:dyDescent="0.25">
      <c r="A469" s="2" t="s">
        <v>24</v>
      </c>
      <c r="B469" s="2" t="s">
        <v>11140</v>
      </c>
      <c r="C469" s="2" t="s">
        <v>11141</v>
      </c>
      <c r="D469" s="2" t="s">
        <v>11139</v>
      </c>
      <c r="E469" s="2" t="s">
        <v>80</v>
      </c>
      <c r="F469" s="3">
        <v>42300</v>
      </c>
      <c r="G469" s="2" t="str">
        <f>"9783653055177"</f>
        <v>9783653055177</v>
      </c>
      <c r="H469" s="2" t="s">
        <v>14</v>
      </c>
      <c r="I469" s="4">
        <v>43013.649305555555</v>
      </c>
      <c r="J469" s="2" t="s">
        <v>11142</v>
      </c>
    </row>
    <row r="470" spans="1:10" ht="135" x14ac:dyDescent="0.25">
      <c r="A470" s="2" t="s">
        <v>24</v>
      </c>
      <c r="B470" s="2" t="s">
        <v>1361</v>
      </c>
      <c r="C470" s="2" t="s">
        <v>1365</v>
      </c>
      <c r="D470" s="2" t="s">
        <v>4053</v>
      </c>
      <c r="E470" s="2" t="s">
        <v>101</v>
      </c>
      <c r="F470" s="3">
        <v>42809</v>
      </c>
      <c r="G470" s="2" t="str">
        <f>"9780810134614"</f>
        <v>9780810134614</v>
      </c>
      <c r="H470" s="2" t="s">
        <v>14</v>
      </c>
      <c r="I470" s="4">
        <v>43720.48333333333</v>
      </c>
      <c r="J470" s="2" t="s">
        <v>4054</v>
      </c>
    </row>
    <row r="471" spans="1:10" ht="135" x14ac:dyDescent="0.25">
      <c r="A471" s="2" t="s">
        <v>24</v>
      </c>
      <c r="B471" s="2">
        <v>791.43655200000001</v>
      </c>
      <c r="C471" s="2" t="s">
        <v>1175</v>
      </c>
      <c r="D471" s="2" t="s">
        <v>1174</v>
      </c>
      <c r="E471" s="2" t="s">
        <v>69</v>
      </c>
      <c r="F471" s="3">
        <v>43489</v>
      </c>
      <c r="G471" s="2" t="str">
        <f>"9780253037213"</f>
        <v>9780253037213</v>
      </c>
      <c r="H471" s="2" t="s">
        <v>14</v>
      </c>
      <c r="I471" s="4">
        <v>43957.861805555556</v>
      </c>
      <c r="J471" s="2" t="s">
        <v>1176</v>
      </c>
    </row>
    <row r="472" spans="1:10" ht="135" x14ac:dyDescent="0.25">
      <c r="A472" s="2" t="s">
        <v>24</v>
      </c>
      <c r="B472" s="2">
        <v>704.03959999999995</v>
      </c>
      <c r="C472" s="2" t="s">
        <v>4689</v>
      </c>
      <c r="D472" s="2" t="s">
        <v>4688</v>
      </c>
      <c r="E472" s="2" t="s">
        <v>856</v>
      </c>
      <c r="F472" s="3">
        <v>42856</v>
      </c>
      <c r="G472" s="2" t="str">
        <f>"9780295999586"</f>
        <v>9780295999586</v>
      </c>
      <c r="H472" s="2" t="s">
        <v>14</v>
      </c>
      <c r="I472" s="4">
        <v>43636.978472222225</v>
      </c>
      <c r="J472" s="2" t="s">
        <v>4690</v>
      </c>
    </row>
    <row r="473" spans="1:10" ht="135" x14ac:dyDescent="0.25">
      <c r="A473" s="2" t="s">
        <v>24</v>
      </c>
      <c r="B473" s="2" t="s">
        <v>7705</v>
      </c>
      <c r="C473" s="2" t="s">
        <v>7706</v>
      </c>
      <c r="D473" s="2" t="s">
        <v>7704</v>
      </c>
      <c r="E473" s="2" t="s">
        <v>73</v>
      </c>
      <c r="F473" s="3">
        <v>42711</v>
      </c>
      <c r="G473" s="2" t="str">
        <f>"9781452952581"</f>
        <v>9781452952581</v>
      </c>
      <c r="H473" s="2" t="s">
        <v>14</v>
      </c>
      <c r="I473" s="4">
        <v>43398.643750000003</v>
      </c>
      <c r="J473" s="2" t="s">
        <v>7707</v>
      </c>
    </row>
    <row r="474" spans="1:10" ht="135" x14ac:dyDescent="0.25">
      <c r="A474" s="2" t="s">
        <v>24</v>
      </c>
      <c r="B474" s="2" t="s">
        <v>8389</v>
      </c>
      <c r="C474" s="2" t="s">
        <v>8390</v>
      </c>
      <c r="D474" s="2" t="s">
        <v>8388</v>
      </c>
      <c r="E474" s="2" t="s">
        <v>5364</v>
      </c>
      <c r="F474" s="3">
        <v>42675</v>
      </c>
      <c r="G474" s="2" t="str">
        <f>"9781421420639"</f>
        <v>9781421420639</v>
      </c>
      <c r="H474" s="2" t="s">
        <v>14</v>
      </c>
      <c r="I474" s="4">
        <v>43313.724305555559</v>
      </c>
      <c r="J474" s="2" t="s">
        <v>8391</v>
      </c>
    </row>
    <row r="475" spans="1:10" ht="210" x14ac:dyDescent="0.25">
      <c r="A475" s="2" t="s">
        <v>24</v>
      </c>
      <c r="B475" s="2">
        <v>781.44</v>
      </c>
      <c r="C475" s="2" t="s">
        <v>12276</v>
      </c>
      <c r="D475" s="2" t="s">
        <v>12275</v>
      </c>
      <c r="E475" s="2" t="s">
        <v>80</v>
      </c>
      <c r="F475" s="3">
        <v>42482</v>
      </c>
      <c r="G475" s="2" t="str">
        <f>"9783653067200"</f>
        <v>9783653067200</v>
      </c>
      <c r="H475" s="2" t="s">
        <v>14</v>
      </c>
      <c r="I475" s="4">
        <v>42821.836111111108</v>
      </c>
      <c r="J475" s="2" t="s">
        <v>12277</v>
      </c>
    </row>
    <row r="476" spans="1:10" ht="135" x14ac:dyDescent="0.25">
      <c r="A476" s="2" t="s">
        <v>24</v>
      </c>
      <c r="B476" s="2">
        <v>791.43652199999997</v>
      </c>
      <c r="C476" s="2" t="s">
        <v>6281</v>
      </c>
      <c r="D476" s="2" t="s">
        <v>6280</v>
      </c>
      <c r="E476" s="2" t="s">
        <v>69</v>
      </c>
      <c r="F476" s="3">
        <v>42590</v>
      </c>
      <c r="G476" s="2" t="str">
        <f>"9780253023179"</f>
        <v>9780253023179</v>
      </c>
      <c r="H476" s="2" t="s">
        <v>14</v>
      </c>
      <c r="I476" s="4">
        <v>43527.756249999999</v>
      </c>
      <c r="J476" s="2" t="s">
        <v>6282</v>
      </c>
    </row>
    <row r="477" spans="1:10" ht="135" x14ac:dyDescent="0.25">
      <c r="A477" s="2" t="s">
        <v>24</v>
      </c>
      <c r="B477" s="2">
        <v>791.43094315500002</v>
      </c>
      <c r="C477" s="2" t="s">
        <v>5778</v>
      </c>
      <c r="D477" s="2" t="s">
        <v>5777</v>
      </c>
      <c r="E477" s="2" t="s">
        <v>69</v>
      </c>
      <c r="F477" s="3">
        <v>43504</v>
      </c>
      <c r="G477" s="2" t="str">
        <f>"9780253038043"</f>
        <v>9780253038043</v>
      </c>
      <c r="H477" s="2" t="s">
        <v>14</v>
      </c>
      <c r="I477" s="4">
        <v>43572.691666666666</v>
      </c>
      <c r="J477" s="2" t="s">
        <v>5779</v>
      </c>
    </row>
    <row r="478" spans="1:10" ht="135" x14ac:dyDescent="0.25">
      <c r="A478" s="2" t="s">
        <v>24</v>
      </c>
      <c r="B478" s="2" t="s">
        <v>1361</v>
      </c>
      <c r="C478" s="2" t="s">
        <v>7303</v>
      </c>
      <c r="D478" s="2" t="s">
        <v>7302</v>
      </c>
      <c r="E478" s="2" t="s">
        <v>73</v>
      </c>
      <c r="F478" s="3">
        <v>43151</v>
      </c>
      <c r="G478" s="2" t="str">
        <f>"9781452956046"</f>
        <v>9781452956046</v>
      </c>
      <c r="H478" s="2" t="s">
        <v>14</v>
      </c>
      <c r="I478" s="4">
        <v>43426.574999999997</v>
      </c>
      <c r="J478" s="2" t="s">
        <v>7304</v>
      </c>
    </row>
    <row r="479" spans="1:10" ht="135" x14ac:dyDescent="0.25">
      <c r="A479" s="2" t="s">
        <v>24</v>
      </c>
      <c r="B479" s="2" t="s">
        <v>12993</v>
      </c>
      <c r="C479" s="2" t="s">
        <v>12994</v>
      </c>
      <c r="D479" s="2" t="s">
        <v>12992</v>
      </c>
      <c r="E479" s="2" t="s">
        <v>9021</v>
      </c>
      <c r="F479" s="3">
        <v>42738</v>
      </c>
      <c r="G479" s="2" t="str">
        <f>"9780813572284"</f>
        <v>9780813572284</v>
      </c>
      <c r="H479" s="2" t="s">
        <v>14</v>
      </c>
      <c r="I479" s="4">
        <v>42746.425000000003</v>
      </c>
      <c r="J479" s="2" t="s">
        <v>12995</v>
      </c>
    </row>
    <row r="480" spans="1:10" ht="135" x14ac:dyDescent="0.25">
      <c r="A480" s="2" t="s">
        <v>24</v>
      </c>
      <c r="B480" s="2">
        <v>780.90319999999997</v>
      </c>
      <c r="C480" s="2" t="s">
        <v>12533</v>
      </c>
      <c r="D480" s="2" t="s">
        <v>12532</v>
      </c>
      <c r="E480" s="2" t="s">
        <v>578</v>
      </c>
      <c r="F480" s="3">
        <v>40452</v>
      </c>
      <c r="G480" s="2" t="str">
        <f>"9780252092077"</f>
        <v>9780252092077</v>
      </c>
      <c r="H480" s="2" t="s">
        <v>14</v>
      </c>
      <c r="I480" s="4">
        <v>42797.408333333333</v>
      </c>
      <c r="J480" s="2" t="s">
        <v>12534</v>
      </c>
    </row>
    <row r="481" spans="1:10" ht="135" x14ac:dyDescent="0.25">
      <c r="A481" s="2" t="s">
        <v>24</v>
      </c>
      <c r="B481" s="2" t="s">
        <v>9273</v>
      </c>
      <c r="C481" s="2" t="s">
        <v>9274</v>
      </c>
      <c r="D481" s="2" t="s">
        <v>9272</v>
      </c>
      <c r="E481" s="2" t="s">
        <v>69</v>
      </c>
      <c r="F481" s="3">
        <v>42254</v>
      </c>
      <c r="G481" s="2" t="str">
        <f>"9780253017765"</f>
        <v>9780253017765</v>
      </c>
      <c r="H481" s="2" t="s">
        <v>14</v>
      </c>
      <c r="I481" s="4">
        <v>43192.554166666669</v>
      </c>
      <c r="J481" s="2" t="s">
        <v>9275</v>
      </c>
    </row>
    <row r="482" spans="1:10" ht="135" x14ac:dyDescent="0.25">
      <c r="A482" s="2" t="s">
        <v>24</v>
      </c>
      <c r="B482" s="2" t="s">
        <v>10713</v>
      </c>
      <c r="C482" s="2" t="s">
        <v>10714</v>
      </c>
      <c r="D482" s="2" t="s">
        <v>10712</v>
      </c>
      <c r="E482" s="2" t="s">
        <v>69</v>
      </c>
      <c r="F482" s="3">
        <v>42191</v>
      </c>
      <c r="G482" s="2" t="str">
        <f>"9780253017222"</f>
        <v>9780253017222</v>
      </c>
      <c r="H482" s="2" t="s">
        <v>14</v>
      </c>
      <c r="I482" s="4">
        <v>43039.972222222219</v>
      </c>
      <c r="J482" s="2" t="s">
        <v>10715</v>
      </c>
    </row>
    <row r="483" spans="1:10" ht="135" x14ac:dyDescent="0.25">
      <c r="A483" s="2" t="s">
        <v>24</v>
      </c>
      <c r="B483" s="2">
        <v>780.94200000000001</v>
      </c>
      <c r="C483" s="2" t="s">
        <v>12778</v>
      </c>
      <c r="D483" s="2" t="s">
        <v>12777</v>
      </c>
      <c r="E483" s="2" t="s">
        <v>4660</v>
      </c>
      <c r="F483" s="3">
        <v>41827</v>
      </c>
      <c r="G483" s="2" t="str">
        <f>"9780813163611"</f>
        <v>9780813163611</v>
      </c>
      <c r="H483" s="2" t="s">
        <v>14</v>
      </c>
      <c r="I483" s="4">
        <v>42775.459027777775</v>
      </c>
      <c r="J483" s="2" t="s">
        <v>12779</v>
      </c>
    </row>
    <row r="484" spans="1:10" ht="135" x14ac:dyDescent="0.25">
      <c r="A484" s="2" t="s">
        <v>24</v>
      </c>
      <c r="C484" s="2" t="s">
        <v>3323</v>
      </c>
      <c r="D484" s="2" t="s">
        <v>3322</v>
      </c>
      <c r="E484" s="2" t="s">
        <v>2469</v>
      </c>
      <c r="F484" s="3">
        <v>43248</v>
      </c>
      <c r="G484" s="2" t="str">
        <f>"9783990124024"</f>
        <v>9783990124024</v>
      </c>
      <c r="H484" s="2" t="s">
        <v>14</v>
      </c>
      <c r="I484" s="4">
        <v>43790.59652777778</v>
      </c>
      <c r="J484" s="2" t="s">
        <v>3324</v>
      </c>
    </row>
    <row r="485" spans="1:10" ht="135" x14ac:dyDescent="0.25">
      <c r="A485" s="2" t="s">
        <v>24</v>
      </c>
      <c r="B485" s="2">
        <v>780.71</v>
      </c>
      <c r="C485" s="2" t="s">
        <v>3371</v>
      </c>
      <c r="D485" s="2" t="s">
        <v>3370</v>
      </c>
      <c r="E485" s="2" t="s">
        <v>69</v>
      </c>
      <c r="F485" s="3">
        <v>43728</v>
      </c>
      <c r="G485" s="2" t="str">
        <f>"9780253043740"</f>
        <v>9780253043740</v>
      </c>
      <c r="H485" s="2" t="s">
        <v>14</v>
      </c>
      <c r="I485" s="4">
        <v>43786.921527777777</v>
      </c>
      <c r="J485" s="2" t="s">
        <v>3372</v>
      </c>
    </row>
    <row r="486" spans="1:10" ht="135" x14ac:dyDescent="0.25">
      <c r="A486" s="2" t="s">
        <v>24</v>
      </c>
      <c r="B486" s="2">
        <v>791.43657900000005</v>
      </c>
      <c r="C486" s="2" t="s">
        <v>2997</v>
      </c>
      <c r="D486" s="2" t="s">
        <v>2996</v>
      </c>
      <c r="E486" s="2" t="s">
        <v>50</v>
      </c>
      <c r="F486" s="3">
        <v>43831</v>
      </c>
      <c r="G486" s="2" t="str">
        <f>"9781496218261"</f>
        <v>9781496218261</v>
      </c>
      <c r="H486" s="2" t="s">
        <v>14</v>
      </c>
      <c r="I486" s="4">
        <v>43835.561111111114</v>
      </c>
      <c r="J486" s="2" t="s">
        <v>2998</v>
      </c>
    </row>
    <row r="487" spans="1:10" ht="135" x14ac:dyDescent="0.25">
      <c r="A487" s="2" t="s">
        <v>24</v>
      </c>
      <c r="B487" s="2" t="s">
        <v>12829</v>
      </c>
      <c r="C487" s="2" t="s">
        <v>12830</v>
      </c>
      <c r="D487" s="2" t="s">
        <v>12828</v>
      </c>
      <c r="E487" s="2" t="s">
        <v>69</v>
      </c>
      <c r="F487" s="3">
        <v>42034</v>
      </c>
      <c r="G487" s="2" t="str">
        <f>"9780253015648"</f>
        <v>9780253015648</v>
      </c>
      <c r="H487" s="2" t="s">
        <v>14</v>
      </c>
      <c r="I487" s="4">
        <v>42770.643055555556</v>
      </c>
      <c r="J487" s="2" t="s">
        <v>12831</v>
      </c>
    </row>
    <row r="488" spans="1:10" ht="135" x14ac:dyDescent="0.25">
      <c r="A488" s="2" t="s">
        <v>24</v>
      </c>
      <c r="B488" s="2">
        <v>778.72</v>
      </c>
      <c r="C488" s="2" t="s">
        <v>6490</v>
      </c>
      <c r="D488" s="2" t="s">
        <v>6489</v>
      </c>
      <c r="E488" s="2" t="s">
        <v>907</v>
      </c>
      <c r="F488" s="3">
        <v>43025</v>
      </c>
      <c r="G488" s="2" t="str">
        <f>"9780997126495"</f>
        <v>9780997126495</v>
      </c>
      <c r="H488" s="2" t="s">
        <v>14</v>
      </c>
      <c r="I488" s="4">
        <v>43514.62777777778</v>
      </c>
      <c r="J488" s="2" t="s">
        <v>6491</v>
      </c>
    </row>
    <row r="489" spans="1:10" ht="135" x14ac:dyDescent="0.25">
      <c r="A489" s="2" t="s">
        <v>24</v>
      </c>
      <c r="B489" s="2">
        <v>782.1</v>
      </c>
      <c r="C489" s="2" t="s">
        <v>3853</v>
      </c>
      <c r="D489" s="2" t="s">
        <v>3852</v>
      </c>
      <c r="E489" s="2" t="s">
        <v>69</v>
      </c>
      <c r="F489" s="3">
        <v>43671</v>
      </c>
      <c r="G489" s="2" t="str">
        <f>"9780253042897"</f>
        <v>9780253042897</v>
      </c>
      <c r="H489" s="2" t="s">
        <v>14</v>
      </c>
      <c r="I489" s="4">
        <v>43749.615277777775</v>
      </c>
      <c r="J489" s="2" t="s">
        <v>3854</v>
      </c>
    </row>
    <row r="490" spans="1:10" ht="135" x14ac:dyDescent="0.25">
      <c r="A490" s="2" t="s">
        <v>24</v>
      </c>
      <c r="B490" s="2">
        <v>781.66089999999997</v>
      </c>
      <c r="C490" s="2" t="s">
        <v>81</v>
      </c>
      <c r="D490" s="2" t="s">
        <v>79</v>
      </c>
      <c r="E490" s="2" t="s">
        <v>80</v>
      </c>
      <c r="F490" s="3">
        <v>41892</v>
      </c>
      <c r="G490" s="2" t="str">
        <f>"9783653047936"</f>
        <v>9783653047936</v>
      </c>
      <c r="H490" s="2" t="s">
        <v>14</v>
      </c>
      <c r="I490" s="4">
        <v>44074.422222222223</v>
      </c>
      <c r="J490" s="2" t="s">
        <v>82</v>
      </c>
    </row>
    <row r="491" spans="1:10" ht="135" x14ac:dyDescent="0.25">
      <c r="A491" s="2" t="s">
        <v>24</v>
      </c>
      <c r="B491" s="2">
        <v>791.43023309199998</v>
      </c>
      <c r="C491" s="2" t="s">
        <v>4388</v>
      </c>
      <c r="D491" s="2" t="s">
        <v>4387</v>
      </c>
      <c r="E491" s="2" t="s">
        <v>69</v>
      </c>
      <c r="F491" s="3">
        <v>43139</v>
      </c>
      <c r="G491" s="2" t="str">
        <f>"9780253032966"</f>
        <v>9780253032966</v>
      </c>
      <c r="H491" s="2" t="s">
        <v>14</v>
      </c>
      <c r="I491" s="4">
        <v>43675.454861111109</v>
      </c>
      <c r="J491" s="2" t="s">
        <v>4389</v>
      </c>
    </row>
    <row r="492" spans="1:10" ht="165" x14ac:dyDescent="0.25">
      <c r="A492" s="2" t="s">
        <v>24</v>
      </c>
      <c r="B492" s="2" t="s">
        <v>8696</v>
      </c>
      <c r="C492" s="2" t="s">
        <v>12963</v>
      </c>
      <c r="D492" s="2" t="s">
        <v>12962</v>
      </c>
      <c r="E492" s="2" t="s">
        <v>69</v>
      </c>
      <c r="F492" s="3">
        <v>42457</v>
      </c>
      <c r="G492" s="2" t="str">
        <f>"9780253021557"</f>
        <v>9780253021557</v>
      </c>
      <c r="H492" s="2" t="s">
        <v>14</v>
      </c>
      <c r="I492" s="4">
        <v>42753.652083333334</v>
      </c>
      <c r="J492" s="2" t="s">
        <v>12964</v>
      </c>
    </row>
    <row r="493" spans="1:10" ht="135" x14ac:dyDescent="0.25">
      <c r="A493" s="2" t="s">
        <v>24</v>
      </c>
      <c r="B493" s="2">
        <v>791.43095693999999</v>
      </c>
      <c r="C493" s="2" t="s">
        <v>5610</v>
      </c>
      <c r="D493" s="2" t="s">
        <v>5609</v>
      </c>
      <c r="E493" s="2" t="s">
        <v>526</v>
      </c>
      <c r="F493" s="3">
        <v>43282</v>
      </c>
      <c r="G493" s="2" t="str">
        <f>"9781477315972"</f>
        <v>9781477315972</v>
      </c>
      <c r="H493" s="2" t="s">
        <v>14</v>
      </c>
      <c r="I493" s="4">
        <v>43586.397916666669</v>
      </c>
      <c r="J493" s="2" t="s">
        <v>5611</v>
      </c>
    </row>
    <row r="494" spans="1:10" ht="135" x14ac:dyDescent="0.25">
      <c r="A494" s="2" t="s">
        <v>24</v>
      </c>
      <c r="B494" s="2">
        <v>791.43020000000001</v>
      </c>
      <c r="D494" s="2" t="s">
        <v>9820</v>
      </c>
      <c r="E494" s="2" t="s">
        <v>846</v>
      </c>
      <c r="F494" s="3">
        <v>42256</v>
      </c>
      <c r="G494" s="2" t="str">
        <f>"9781442669871"</f>
        <v>9781442669871</v>
      </c>
      <c r="H494" s="2" t="s">
        <v>14</v>
      </c>
      <c r="I494" s="4">
        <v>43127.67083333333</v>
      </c>
      <c r="J494" s="2" t="s">
        <v>9821</v>
      </c>
    </row>
    <row r="495" spans="1:10" ht="135" x14ac:dyDescent="0.25">
      <c r="A495" s="2" t="s">
        <v>24</v>
      </c>
      <c r="B495" s="2" t="s">
        <v>1361</v>
      </c>
      <c r="C495" s="2" t="s">
        <v>1365</v>
      </c>
      <c r="D495" s="2" t="s">
        <v>9115</v>
      </c>
      <c r="E495" s="2" t="s">
        <v>578</v>
      </c>
      <c r="F495" s="3">
        <v>42569</v>
      </c>
      <c r="G495" s="2" t="str">
        <f>"9780252098789"</f>
        <v>9780252098789</v>
      </c>
      <c r="H495" s="2" t="s">
        <v>14</v>
      </c>
      <c r="I495" s="4">
        <v>43215.814583333333</v>
      </c>
      <c r="J495" s="2" t="s">
        <v>9116</v>
      </c>
    </row>
    <row r="496" spans="1:10" ht="135" x14ac:dyDescent="0.25">
      <c r="A496" s="2" t="s">
        <v>24</v>
      </c>
      <c r="B496" s="2">
        <v>780.92</v>
      </c>
      <c r="C496" s="2" t="s">
        <v>763</v>
      </c>
      <c r="D496" s="2" t="s">
        <v>3999</v>
      </c>
      <c r="E496" s="2" t="s">
        <v>578</v>
      </c>
      <c r="F496" s="3">
        <v>43632</v>
      </c>
      <c r="G496" s="2" t="str">
        <f>"9780252051401"</f>
        <v>9780252051401</v>
      </c>
      <c r="H496" s="2" t="s">
        <v>14</v>
      </c>
      <c r="I496" s="4">
        <v>43728.893055555556</v>
      </c>
      <c r="J496" s="2" t="s">
        <v>4000</v>
      </c>
    </row>
    <row r="497" spans="1:10" ht="135" x14ac:dyDescent="0.25">
      <c r="A497" s="2" t="s">
        <v>24</v>
      </c>
      <c r="B497" s="2">
        <v>791.09810000000004</v>
      </c>
      <c r="C497" s="2" t="s">
        <v>7837</v>
      </c>
      <c r="D497" s="2" t="s">
        <v>7836</v>
      </c>
      <c r="E497" s="2" t="s">
        <v>58</v>
      </c>
      <c r="F497" s="3">
        <v>42023</v>
      </c>
      <c r="G497" s="2" t="str">
        <f>"9780299300630"</f>
        <v>9780299300630</v>
      </c>
      <c r="H497" s="2" t="s">
        <v>14</v>
      </c>
      <c r="I497" s="4">
        <v>43385.48541666667</v>
      </c>
      <c r="J497" s="2" t="s">
        <v>7838</v>
      </c>
    </row>
    <row r="498" spans="1:10" ht="135" x14ac:dyDescent="0.25">
      <c r="A498" s="2" t="s">
        <v>24</v>
      </c>
      <c r="B498" s="2" t="s">
        <v>9308</v>
      </c>
      <c r="C498" s="2" t="s">
        <v>9309</v>
      </c>
      <c r="D498" s="2" t="s">
        <v>9307</v>
      </c>
      <c r="E498" s="2" t="s">
        <v>69</v>
      </c>
      <c r="F498" s="3">
        <v>41788</v>
      </c>
      <c r="G498" s="2" t="str">
        <f>"9780861969104"</f>
        <v>9780861969104</v>
      </c>
      <c r="H498" s="2" t="s">
        <v>14</v>
      </c>
      <c r="I498" s="4">
        <v>43187.458333333336</v>
      </c>
      <c r="J498" s="2" t="s">
        <v>9310</v>
      </c>
    </row>
    <row r="499" spans="1:10" ht="150" x14ac:dyDescent="0.25">
      <c r="A499" s="2" t="s">
        <v>24</v>
      </c>
      <c r="B499" s="2">
        <v>792.09680000000003</v>
      </c>
      <c r="C499" s="2" t="s">
        <v>6137</v>
      </c>
      <c r="D499" s="2" t="s">
        <v>6136</v>
      </c>
      <c r="E499" s="2" t="s">
        <v>136</v>
      </c>
      <c r="F499" s="3">
        <v>42705</v>
      </c>
      <c r="G499" s="2" t="str">
        <f>"9781609384487"</f>
        <v>9781609384487</v>
      </c>
      <c r="H499" s="2" t="s">
        <v>14</v>
      </c>
      <c r="I499" s="4">
        <v>43536.749305555553</v>
      </c>
      <c r="J499" s="2" t="s">
        <v>6138</v>
      </c>
    </row>
    <row r="500" spans="1:10" ht="135" x14ac:dyDescent="0.25">
      <c r="A500" s="2" t="s">
        <v>24</v>
      </c>
      <c r="B500" s="2">
        <v>781.1</v>
      </c>
      <c r="C500" s="2" t="s">
        <v>12013</v>
      </c>
      <c r="D500" s="2" t="s">
        <v>12012</v>
      </c>
      <c r="E500" s="2" t="s">
        <v>674</v>
      </c>
      <c r="F500" s="3">
        <v>42310</v>
      </c>
      <c r="G500" s="2" t="str">
        <f>"9780823267088"</f>
        <v>9780823267088</v>
      </c>
      <c r="H500" s="2" t="s">
        <v>14</v>
      </c>
      <c r="I500" s="4">
        <v>42862.665277777778</v>
      </c>
      <c r="J500" s="2" t="s">
        <v>12014</v>
      </c>
    </row>
    <row r="501" spans="1:10" ht="135" x14ac:dyDescent="0.25">
      <c r="A501" s="2" t="s">
        <v>24</v>
      </c>
      <c r="B501" s="2">
        <v>780.26599999999996</v>
      </c>
      <c r="C501" s="2" t="s">
        <v>4182</v>
      </c>
      <c r="D501" s="2" t="s">
        <v>4181</v>
      </c>
      <c r="E501" s="2" t="s">
        <v>54</v>
      </c>
      <c r="F501" s="3">
        <v>43627</v>
      </c>
      <c r="G501" s="2" t="str">
        <f>"9781503609716"</f>
        <v>9781503609716</v>
      </c>
      <c r="H501" s="2" t="s">
        <v>14</v>
      </c>
      <c r="I501" s="4">
        <v>43700.511805555558</v>
      </c>
      <c r="J501" s="2" t="s">
        <v>4183</v>
      </c>
    </row>
    <row r="502" spans="1:10" ht="135" x14ac:dyDescent="0.25">
      <c r="A502" s="2" t="s">
        <v>24</v>
      </c>
      <c r="B502" s="2">
        <v>770.1</v>
      </c>
      <c r="C502" s="2" t="s">
        <v>3078</v>
      </c>
      <c r="D502" s="2" t="s">
        <v>3077</v>
      </c>
      <c r="E502" s="2" t="s">
        <v>97</v>
      </c>
      <c r="F502" s="3">
        <v>41926</v>
      </c>
      <c r="G502" s="2" t="str">
        <f>"9780231538244"</f>
        <v>9780231538244</v>
      </c>
      <c r="H502" s="2" t="s">
        <v>14</v>
      </c>
      <c r="I502" s="4">
        <v>43817.479861111111</v>
      </c>
      <c r="J502" s="2" t="s">
        <v>3079</v>
      </c>
    </row>
    <row r="503" spans="1:10" ht="135" x14ac:dyDescent="0.25">
      <c r="A503" s="2" t="s">
        <v>24</v>
      </c>
      <c r="B503" s="2" t="s">
        <v>12239</v>
      </c>
      <c r="C503" s="2" t="s">
        <v>12240</v>
      </c>
      <c r="D503" s="2" t="s">
        <v>12238</v>
      </c>
      <c r="E503" s="2" t="s">
        <v>526</v>
      </c>
      <c r="F503" s="3">
        <v>42292</v>
      </c>
      <c r="G503" s="2" t="str">
        <f>"9781477307496"</f>
        <v>9781477307496</v>
      </c>
      <c r="H503" s="2" t="s">
        <v>14</v>
      </c>
      <c r="I503" s="4">
        <v>42827.55</v>
      </c>
      <c r="J503" s="2" t="s">
        <v>12241</v>
      </c>
    </row>
    <row r="504" spans="1:10" ht="135" x14ac:dyDescent="0.25">
      <c r="A504" s="2" t="s">
        <v>24</v>
      </c>
      <c r="B504" s="2">
        <v>700.97290999999996</v>
      </c>
      <c r="C504" s="2" t="s">
        <v>3008</v>
      </c>
      <c r="D504" s="2" t="s">
        <v>3007</v>
      </c>
      <c r="E504" s="2" t="s">
        <v>130</v>
      </c>
      <c r="F504" s="3">
        <v>43739</v>
      </c>
      <c r="G504" s="2" t="str">
        <f>"9781683401094"</f>
        <v>9781683401094</v>
      </c>
      <c r="H504" s="2" t="s">
        <v>14</v>
      </c>
      <c r="I504" s="4">
        <v>43834.418749999997</v>
      </c>
      <c r="J504" s="2" t="s">
        <v>3009</v>
      </c>
    </row>
    <row r="505" spans="1:10" ht="135" x14ac:dyDescent="0.25">
      <c r="A505" s="2" t="s">
        <v>24</v>
      </c>
      <c r="B505" s="2">
        <v>704.94960000000003</v>
      </c>
      <c r="C505" s="2" t="s">
        <v>8013</v>
      </c>
      <c r="D505" s="2" t="s">
        <v>8012</v>
      </c>
      <c r="E505" s="2" t="s">
        <v>221</v>
      </c>
      <c r="F505" s="3">
        <v>42036</v>
      </c>
      <c r="G505" s="2" t="str">
        <f>"9789888313921"</f>
        <v>9789888313921</v>
      </c>
      <c r="H505" s="2" t="s">
        <v>14</v>
      </c>
      <c r="I505" s="4">
        <v>43364.436111111114</v>
      </c>
      <c r="J505" s="2" t="s">
        <v>8014</v>
      </c>
    </row>
    <row r="506" spans="1:10" ht="135" x14ac:dyDescent="0.25">
      <c r="A506" s="2" t="s">
        <v>24</v>
      </c>
      <c r="B506" s="2">
        <v>791.43652999999995</v>
      </c>
      <c r="C506" s="2" t="s">
        <v>8916</v>
      </c>
      <c r="D506" s="2" t="s">
        <v>8915</v>
      </c>
      <c r="E506" s="2" t="s">
        <v>69</v>
      </c>
      <c r="F506" s="3">
        <v>42646</v>
      </c>
      <c r="G506" s="2" t="str">
        <f>"9780253023230"</f>
        <v>9780253023230</v>
      </c>
      <c r="H506" s="2" t="s">
        <v>14</v>
      </c>
      <c r="I506" s="4">
        <v>43240.438194444447</v>
      </c>
      <c r="J506" s="2" t="s">
        <v>8917</v>
      </c>
    </row>
    <row r="507" spans="1:10" ht="135" x14ac:dyDescent="0.25">
      <c r="A507" s="2" t="s">
        <v>24</v>
      </c>
      <c r="B507" s="2" t="s">
        <v>1574</v>
      </c>
      <c r="C507" s="2" t="s">
        <v>1575</v>
      </c>
      <c r="D507" s="2" t="s">
        <v>1573</v>
      </c>
      <c r="E507" s="2" t="s">
        <v>578</v>
      </c>
      <c r="F507" s="3">
        <v>43154</v>
      </c>
      <c r="G507" s="2" t="str">
        <f>"9780252050480"</f>
        <v>9780252050480</v>
      </c>
      <c r="H507" s="2" t="s">
        <v>14</v>
      </c>
      <c r="I507" s="4">
        <v>43937.053472222222</v>
      </c>
      <c r="J507" s="2" t="s">
        <v>1576</v>
      </c>
    </row>
    <row r="508" spans="1:10" ht="135" x14ac:dyDescent="0.25">
      <c r="A508" s="2" t="s">
        <v>24</v>
      </c>
      <c r="B508" s="2" t="s">
        <v>10456</v>
      </c>
      <c r="C508" s="2" t="s">
        <v>10457</v>
      </c>
      <c r="D508" s="2" t="s">
        <v>10455</v>
      </c>
      <c r="E508" s="2" t="s">
        <v>4660</v>
      </c>
      <c r="F508" s="3">
        <v>41702</v>
      </c>
      <c r="G508" s="2" t="str">
        <f>"9780813144900"</f>
        <v>9780813144900</v>
      </c>
      <c r="H508" s="2" t="s">
        <v>14</v>
      </c>
      <c r="I508" s="4">
        <v>43055.541666666664</v>
      </c>
      <c r="J508" s="2" t="s">
        <v>10458</v>
      </c>
    </row>
    <row r="509" spans="1:10" ht="135" x14ac:dyDescent="0.25">
      <c r="A509" s="2" t="s">
        <v>24</v>
      </c>
      <c r="B509" s="2">
        <v>709.7</v>
      </c>
      <c r="C509" s="2" t="s">
        <v>7471</v>
      </c>
      <c r="D509" s="2" t="s">
        <v>7470</v>
      </c>
      <c r="E509" s="2" t="s">
        <v>526</v>
      </c>
      <c r="F509" s="3">
        <v>42231</v>
      </c>
      <c r="G509" s="2" t="str">
        <f>"9781477302279"</f>
        <v>9781477302279</v>
      </c>
      <c r="H509" s="2" t="s">
        <v>14</v>
      </c>
      <c r="I509" s="4">
        <v>43414.53125</v>
      </c>
      <c r="J509" s="2" t="s">
        <v>7472</v>
      </c>
    </row>
    <row r="510" spans="1:10" ht="135" x14ac:dyDescent="0.25">
      <c r="A510" s="2" t="s">
        <v>24</v>
      </c>
      <c r="B510" s="2">
        <v>791.43023309509999</v>
      </c>
      <c r="C510" s="2" t="s">
        <v>7811</v>
      </c>
      <c r="D510" s="2" t="s">
        <v>7810</v>
      </c>
      <c r="E510" s="2" t="s">
        <v>221</v>
      </c>
      <c r="F510" s="3">
        <v>42125</v>
      </c>
      <c r="G510" s="2" t="str">
        <f>"9789888313488"</f>
        <v>9789888313488</v>
      </c>
      <c r="H510" s="2" t="s">
        <v>14</v>
      </c>
      <c r="I510" s="4">
        <v>43387.786111111112</v>
      </c>
      <c r="J510" s="2" t="s">
        <v>7812</v>
      </c>
    </row>
    <row r="511" spans="1:10" ht="135" x14ac:dyDescent="0.25">
      <c r="A511" s="2" t="s">
        <v>24</v>
      </c>
      <c r="B511" s="2" t="s">
        <v>6371</v>
      </c>
      <c r="C511" s="2" t="s">
        <v>6372</v>
      </c>
      <c r="D511" s="2" t="s">
        <v>6370</v>
      </c>
      <c r="E511" s="2" t="s">
        <v>23</v>
      </c>
      <c r="F511" s="3">
        <v>42891</v>
      </c>
      <c r="G511" s="2" t="str">
        <f>"9780814343074"</f>
        <v>9780814343074</v>
      </c>
      <c r="H511" s="2" t="s">
        <v>14</v>
      </c>
      <c r="I511" s="4">
        <v>43521.703472222223</v>
      </c>
      <c r="J511" s="2" t="s">
        <v>6373</v>
      </c>
    </row>
    <row r="512" spans="1:10" ht="135" x14ac:dyDescent="0.25">
      <c r="A512" s="2" t="s">
        <v>24</v>
      </c>
      <c r="B512" s="2">
        <v>781.64</v>
      </c>
      <c r="C512" s="2" t="s">
        <v>6578</v>
      </c>
      <c r="D512" s="2" t="s">
        <v>6577</v>
      </c>
      <c r="E512" s="2" t="s">
        <v>69</v>
      </c>
      <c r="F512" s="3">
        <v>42877</v>
      </c>
      <c r="G512" s="2" t="str">
        <f>"9780253026590"</f>
        <v>9780253026590</v>
      </c>
      <c r="H512" s="2" t="s">
        <v>14</v>
      </c>
      <c r="I512" s="4">
        <v>43507.455555555556</v>
      </c>
      <c r="J512" s="2" t="s">
        <v>6579</v>
      </c>
    </row>
    <row r="513" spans="1:10" ht="135" x14ac:dyDescent="0.25">
      <c r="A513" s="2" t="s">
        <v>24</v>
      </c>
      <c r="B513" s="2">
        <v>701.03096809050896</v>
      </c>
      <c r="C513" s="2" t="s">
        <v>5371</v>
      </c>
      <c r="D513" s="2" t="s">
        <v>5370</v>
      </c>
      <c r="E513" s="2" t="s">
        <v>69</v>
      </c>
      <c r="F513" s="3">
        <v>43024</v>
      </c>
      <c r="G513" s="2" t="str">
        <f>"9780253030108"</f>
        <v>9780253030108</v>
      </c>
      <c r="H513" s="2" t="s">
        <v>14</v>
      </c>
      <c r="I513" s="4">
        <v>43603.619444444441</v>
      </c>
      <c r="J513" s="2" t="s">
        <v>5372</v>
      </c>
    </row>
    <row r="514" spans="1:10" ht="135" x14ac:dyDescent="0.25">
      <c r="A514" s="2" t="s">
        <v>24</v>
      </c>
      <c r="B514" s="2" t="s">
        <v>10593</v>
      </c>
      <c r="C514" s="2" t="s">
        <v>10594</v>
      </c>
      <c r="D514" s="2" t="s">
        <v>10592</v>
      </c>
      <c r="E514" s="2" t="s">
        <v>180</v>
      </c>
      <c r="F514" s="3">
        <v>42160</v>
      </c>
      <c r="G514" s="2" t="str">
        <f>"9781479878680"</f>
        <v>9781479878680</v>
      </c>
      <c r="H514" s="2" t="s">
        <v>14</v>
      </c>
      <c r="I514" s="4">
        <v>43048.540972222225</v>
      </c>
      <c r="J514" s="2" t="s">
        <v>10595</v>
      </c>
    </row>
    <row r="515" spans="1:10" ht="135" x14ac:dyDescent="0.25">
      <c r="A515" s="2" t="s">
        <v>24</v>
      </c>
      <c r="B515" s="2">
        <v>777.09730000000002</v>
      </c>
      <c r="C515" s="2" t="s">
        <v>2896</v>
      </c>
      <c r="D515" s="2" t="s">
        <v>2895</v>
      </c>
      <c r="E515" s="2" t="s">
        <v>216</v>
      </c>
      <c r="F515" s="3">
        <v>43191</v>
      </c>
      <c r="G515" s="2" t="str">
        <f>"9781438468952"</f>
        <v>9781438468952</v>
      </c>
      <c r="H515" s="2" t="s">
        <v>14</v>
      </c>
      <c r="I515" s="4">
        <v>43845.424305555556</v>
      </c>
      <c r="J515" s="2" t="s">
        <v>2897</v>
      </c>
    </row>
    <row r="516" spans="1:10" ht="135" x14ac:dyDescent="0.25">
      <c r="A516" s="2" t="s">
        <v>24</v>
      </c>
      <c r="B516" s="2">
        <v>791.43652999999995</v>
      </c>
      <c r="C516" s="2" t="s">
        <v>346</v>
      </c>
      <c r="D516" s="2" t="s">
        <v>345</v>
      </c>
      <c r="E516" s="2" t="s">
        <v>23</v>
      </c>
      <c r="F516" s="3">
        <v>43024</v>
      </c>
      <c r="G516" s="2" t="str">
        <f>"9780814342756"</f>
        <v>9780814342756</v>
      </c>
      <c r="H516" s="2" t="s">
        <v>14</v>
      </c>
      <c r="I516" s="4">
        <v>44036.589583333334</v>
      </c>
      <c r="J516" s="2" t="s">
        <v>347</v>
      </c>
    </row>
    <row r="517" spans="1:10" ht="135" x14ac:dyDescent="0.25">
      <c r="A517" s="2" t="s">
        <v>24</v>
      </c>
      <c r="B517" s="2">
        <v>791.43652664299998</v>
      </c>
      <c r="C517" s="2" t="s">
        <v>1575</v>
      </c>
      <c r="D517" s="2" t="s">
        <v>4195</v>
      </c>
      <c r="E517" s="2" t="s">
        <v>578</v>
      </c>
      <c r="F517" s="3">
        <v>43632</v>
      </c>
      <c r="G517" s="2" t="str">
        <f>"9780252051302"</f>
        <v>9780252051302</v>
      </c>
      <c r="H517" s="2" t="s">
        <v>14</v>
      </c>
      <c r="I517" s="4">
        <v>43696.495138888888</v>
      </c>
      <c r="J517" s="2" t="s">
        <v>4196</v>
      </c>
    </row>
    <row r="518" spans="1:10" ht="135" x14ac:dyDescent="0.25">
      <c r="A518" s="2" t="s">
        <v>24</v>
      </c>
      <c r="B518" s="2">
        <v>709.2</v>
      </c>
      <c r="C518" s="2" t="s">
        <v>2978</v>
      </c>
      <c r="D518" s="2" t="s">
        <v>2977</v>
      </c>
      <c r="E518" s="2" t="s">
        <v>705</v>
      </c>
      <c r="F518" s="3">
        <v>42598</v>
      </c>
      <c r="G518" s="2" t="str">
        <f>"9781400883288"</f>
        <v>9781400883288</v>
      </c>
      <c r="H518" s="2" t="s">
        <v>14</v>
      </c>
      <c r="I518" s="4">
        <v>43836.760416666664</v>
      </c>
      <c r="J518" s="2" t="s">
        <v>2979</v>
      </c>
    </row>
    <row r="519" spans="1:10" ht="195" x14ac:dyDescent="0.25">
      <c r="A519" s="2" t="s">
        <v>24</v>
      </c>
      <c r="B519" s="2" t="s">
        <v>9772</v>
      </c>
      <c r="C519" s="2" t="s">
        <v>9773</v>
      </c>
      <c r="D519" s="2" t="s">
        <v>9771</v>
      </c>
      <c r="E519" s="2" t="s">
        <v>69</v>
      </c>
      <c r="F519" s="3">
        <v>42338</v>
      </c>
      <c r="G519" s="2" t="str">
        <f>"9780253018052"</f>
        <v>9780253018052</v>
      </c>
      <c r="H519" s="2" t="s">
        <v>14</v>
      </c>
      <c r="I519" s="4">
        <v>43131.076388888891</v>
      </c>
      <c r="J519" s="2" t="s">
        <v>9774</v>
      </c>
    </row>
    <row r="520" spans="1:10" ht="135" x14ac:dyDescent="0.25">
      <c r="A520" s="2" t="s">
        <v>24</v>
      </c>
      <c r="B520" s="2" t="s">
        <v>12235</v>
      </c>
      <c r="C520" s="2" t="s">
        <v>12236</v>
      </c>
      <c r="D520" s="2" t="s">
        <v>12234</v>
      </c>
      <c r="E520" s="2" t="s">
        <v>216</v>
      </c>
      <c r="F520" s="3">
        <v>35621</v>
      </c>
      <c r="G520" s="2" t="str">
        <f>"9781438416168"</f>
        <v>9781438416168</v>
      </c>
      <c r="H520" s="2" t="s">
        <v>14</v>
      </c>
      <c r="I520" s="4">
        <v>42827.650694444441</v>
      </c>
      <c r="J520" s="2" t="s">
        <v>12237</v>
      </c>
    </row>
    <row r="521" spans="1:10" ht="135" x14ac:dyDescent="0.25">
      <c r="A521" s="2" t="s">
        <v>24</v>
      </c>
      <c r="B521" s="2">
        <v>791.43010000000004</v>
      </c>
      <c r="C521" s="2" t="s">
        <v>5572</v>
      </c>
      <c r="D521" s="2" t="s">
        <v>5571</v>
      </c>
      <c r="E521" s="2" t="s">
        <v>723</v>
      </c>
      <c r="F521" s="3">
        <v>41228</v>
      </c>
      <c r="G521" s="2" t="str">
        <f>"9781612492957"</f>
        <v>9781612492957</v>
      </c>
      <c r="H521" s="2" t="s">
        <v>14</v>
      </c>
      <c r="I521" s="4">
        <v>43587.752083333333</v>
      </c>
      <c r="J521" s="2" t="s">
        <v>5573</v>
      </c>
    </row>
    <row r="522" spans="1:10" ht="135" x14ac:dyDescent="0.25">
      <c r="A522" s="2" t="s">
        <v>24</v>
      </c>
      <c r="B522" s="2">
        <v>782.10919999999999</v>
      </c>
      <c r="C522" s="2" t="s">
        <v>763</v>
      </c>
      <c r="D522" s="2" t="s">
        <v>6711</v>
      </c>
      <c r="E522" s="2" t="s">
        <v>11</v>
      </c>
      <c r="F522" s="3">
        <v>42136</v>
      </c>
      <c r="G522" s="2" t="str">
        <f>"9780813227429"</f>
        <v>9780813227429</v>
      </c>
      <c r="H522" s="2" t="s">
        <v>14</v>
      </c>
      <c r="I522" s="4">
        <v>43494.670138888891</v>
      </c>
      <c r="J522" s="2" t="s">
        <v>6712</v>
      </c>
    </row>
    <row r="523" spans="1:10" ht="135" x14ac:dyDescent="0.25">
      <c r="A523" s="2" t="s">
        <v>24</v>
      </c>
      <c r="B523" s="2">
        <v>791.43658405318001</v>
      </c>
      <c r="C523" s="2" t="s">
        <v>769</v>
      </c>
      <c r="D523" s="2" t="s">
        <v>768</v>
      </c>
      <c r="E523" s="2" t="s">
        <v>310</v>
      </c>
      <c r="F523" s="3">
        <v>43573</v>
      </c>
      <c r="G523" s="2" t="str">
        <f>"9780815654780"</f>
        <v>9780815654780</v>
      </c>
      <c r="H523" s="2" t="s">
        <v>14</v>
      </c>
      <c r="I523" s="4">
        <v>43988.552777777775</v>
      </c>
      <c r="J523" s="2" t="s">
        <v>770</v>
      </c>
    </row>
    <row r="524" spans="1:10" ht="135" x14ac:dyDescent="0.25">
      <c r="A524" s="2" t="s">
        <v>24</v>
      </c>
      <c r="B524" s="2">
        <v>759.94920000000002</v>
      </c>
      <c r="C524" s="2" t="s">
        <v>3374</v>
      </c>
      <c r="D524" s="2" t="s">
        <v>3373</v>
      </c>
      <c r="E524" s="2" t="s">
        <v>69</v>
      </c>
      <c r="F524" s="3">
        <v>42989</v>
      </c>
      <c r="G524" s="2" t="str">
        <f>"9780253025906"</f>
        <v>9780253025906</v>
      </c>
      <c r="H524" s="2" t="s">
        <v>14</v>
      </c>
      <c r="I524" s="4">
        <v>43786.822222222225</v>
      </c>
      <c r="J524" s="2" t="s">
        <v>3375</v>
      </c>
    </row>
    <row r="525" spans="1:10" ht="135" x14ac:dyDescent="0.25">
      <c r="A525" s="2" t="s">
        <v>24</v>
      </c>
      <c r="B525" s="2">
        <v>780.71</v>
      </c>
      <c r="C525" s="2" t="s">
        <v>12297</v>
      </c>
      <c r="D525" s="2" t="s">
        <v>12296</v>
      </c>
      <c r="E525" s="2" t="s">
        <v>69</v>
      </c>
      <c r="F525" s="3">
        <v>42548</v>
      </c>
      <c r="G525" s="2" t="str">
        <f>"9780253021533"</f>
        <v>9780253021533</v>
      </c>
      <c r="H525" s="2" t="s">
        <v>14</v>
      </c>
      <c r="I525" s="4">
        <v>42818.623611111114</v>
      </c>
      <c r="J525" s="2" t="s">
        <v>12298</v>
      </c>
    </row>
    <row r="526" spans="1:10" ht="135" x14ac:dyDescent="0.25">
      <c r="A526" s="2" t="s">
        <v>24</v>
      </c>
      <c r="B526" s="2" t="s">
        <v>4868</v>
      </c>
      <c r="C526" s="2" t="s">
        <v>4869</v>
      </c>
      <c r="D526" s="2" t="s">
        <v>4867</v>
      </c>
      <c r="E526" s="2" t="s">
        <v>73</v>
      </c>
      <c r="F526" s="3">
        <v>30651</v>
      </c>
      <c r="G526" s="2" t="str">
        <f>"9781452945361"</f>
        <v>9781452945361</v>
      </c>
      <c r="H526" s="2" t="s">
        <v>14</v>
      </c>
      <c r="I526" s="4">
        <v>43619.998611111114</v>
      </c>
      <c r="J526" s="2" t="s">
        <v>4870</v>
      </c>
    </row>
    <row r="527" spans="1:10" ht="135" x14ac:dyDescent="0.25">
      <c r="A527" s="2" t="s">
        <v>24</v>
      </c>
      <c r="B527" s="2">
        <v>700.1</v>
      </c>
      <c r="C527" s="2" t="s">
        <v>1929</v>
      </c>
      <c r="D527" s="2" t="s">
        <v>1928</v>
      </c>
      <c r="E527" s="2" t="s">
        <v>674</v>
      </c>
      <c r="F527" s="3">
        <v>41927</v>
      </c>
      <c r="G527" s="2" t="str">
        <f>"9780823263271"</f>
        <v>9780823263271</v>
      </c>
      <c r="H527" s="2" t="s">
        <v>14</v>
      </c>
      <c r="I527" s="4">
        <v>43920.787499999999</v>
      </c>
      <c r="J527" s="2" t="s">
        <v>1930</v>
      </c>
    </row>
    <row r="528" spans="1:10" ht="150" x14ac:dyDescent="0.25">
      <c r="A528" s="2" t="s">
        <v>24</v>
      </c>
      <c r="B528" s="2" t="s">
        <v>421</v>
      </c>
      <c r="C528" s="2" t="s">
        <v>422</v>
      </c>
      <c r="D528" s="2" t="s">
        <v>420</v>
      </c>
      <c r="E528" s="2" t="s">
        <v>156</v>
      </c>
      <c r="F528" s="3">
        <v>42128</v>
      </c>
      <c r="G528" s="2" t="str">
        <f>"9781469620862"</f>
        <v>9781469620862</v>
      </c>
      <c r="H528" s="2" t="s">
        <v>14</v>
      </c>
      <c r="I528" s="4">
        <v>44025.679166666669</v>
      </c>
      <c r="J528" s="2" t="s">
        <v>423</v>
      </c>
    </row>
    <row r="529" spans="1:10" ht="135" x14ac:dyDescent="0.25">
      <c r="A529" s="2" t="s">
        <v>24</v>
      </c>
      <c r="B529" s="2">
        <v>791.43616999999995</v>
      </c>
      <c r="C529" s="2" t="s">
        <v>8879</v>
      </c>
      <c r="D529" s="2" t="s">
        <v>8878</v>
      </c>
      <c r="E529" s="2" t="s">
        <v>216</v>
      </c>
      <c r="F529" s="3">
        <v>43079</v>
      </c>
      <c r="G529" s="2" t="str">
        <f>"9781438467351"</f>
        <v>9781438467351</v>
      </c>
      <c r="H529" s="2" t="s">
        <v>14</v>
      </c>
      <c r="I529" s="4">
        <v>43243.724305555559</v>
      </c>
      <c r="J529" s="2" t="s">
        <v>8880</v>
      </c>
    </row>
    <row r="530" spans="1:10" ht="135" x14ac:dyDescent="0.25">
      <c r="A530" s="2" t="s">
        <v>24</v>
      </c>
      <c r="B530" s="2">
        <v>782.22090000000003</v>
      </c>
      <c r="C530" s="2" t="s">
        <v>2772</v>
      </c>
      <c r="D530" s="2" t="s">
        <v>2771</v>
      </c>
      <c r="E530" s="2" t="s">
        <v>2747</v>
      </c>
      <c r="F530" s="3">
        <v>43741</v>
      </c>
      <c r="G530" s="2" t="str">
        <f>"9781788744409"</f>
        <v>9781788744409</v>
      </c>
      <c r="H530" s="2" t="s">
        <v>14</v>
      </c>
      <c r="I530" s="4">
        <v>43857.504166666666</v>
      </c>
      <c r="J530" s="2" t="s">
        <v>2773</v>
      </c>
    </row>
    <row r="531" spans="1:10" ht="135" x14ac:dyDescent="0.25">
      <c r="A531" s="2" t="s">
        <v>24</v>
      </c>
      <c r="B531" s="2">
        <v>781.64086609469996</v>
      </c>
      <c r="C531" s="2" t="s">
        <v>6163</v>
      </c>
      <c r="D531" s="2" t="s">
        <v>6162</v>
      </c>
      <c r="E531" s="2" t="s">
        <v>578</v>
      </c>
      <c r="F531" s="3">
        <v>41788</v>
      </c>
      <c r="G531" s="2" t="str">
        <f>"9780252096143"</f>
        <v>9780252096143</v>
      </c>
      <c r="H531" s="2" t="s">
        <v>14</v>
      </c>
      <c r="I531" s="4">
        <v>43535.647916666669</v>
      </c>
      <c r="J531" s="2" t="s">
        <v>6164</v>
      </c>
    </row>
    <row r="532" spans="1:10" ht="135" x14ac:dyDescent="0.25">
      <c r="A532" s="2" t="s">
        <v>24</v>
      </c>
      <c r="B532" s="2">
        <v>791.43091749270002</v>
      </c>
      <c r="C532" s="2" t="s">
        <v>1861</v>
      </c>
      <c r="D532" s="2" t="s">
        <v>1860</v>
      </c>
      <c r="E532" s="2" t="s">
        <v>69</v>
      </c>
      <c r="F532" s="3">
        <v>43017</v>
      </c>
      <c r="G532" s="2" t="str">
        <f>"9780253031730"</f>
        <v>9780253031730</v>
      </c>
      <c r="H532" s="2" t="s">
        <v>14</v>
      </c>
      <c r="I532" s="4">
        <v>43923.724305555559</v>
      </c>
      <c r="J532" s="2" t="s">
        <v>1862</v>
      </c>
    </row>
    <row r="533" spans="1:10" ht="135" x14ac:dyDescent="0.25">
      <c r="A533" s="2" t="s">
        <v>24</v>
      </c>
      <c r="B533" s="2">
        <v>791.43650940999999</v>
      </c>
      <c r="C533" s="2" t="s">
        <v>4446</v>
      </c>
      <c r="D533" s="2" t="s">
        <v>4445</v>
      </c>
      <c r="E533" s="2" t="s">
        <v>216</v>
      </c>
      <c r="F533" s="3">
        <v>43374</v>
      </c>
      <c r="G533" s="2" t="str">
        <f>"9781438471136"</f>
        <v>9781438471136</v>
      </c>
      <c r="H533" s="2" t="s">
        <v>14</v>
      </c>
      <c r="I533" s="4">
        <v>43668.604166666664</v>
      </c>
      <c r="J533" s="2" t="s">
        <v>4447</v>
      </c>
    </row>
    <row r="534" spans="1:10" ht="135" x14ac:dyDescent="0.25">
      <c r="A534" s="2" t="s">
        <v>24</v>
      </c>
      <c r="B534" s="2" t="s">
        <v>1582</v>
      </c>
      <c r="C534" s="2" t="s">
        <v>1583</v>
      </c>
      <c r="D534" s="2" t="s">
        <v>1581</v>
      </c>
      <c r="E534" s="2" t="s">
        <v>216</v>
      </c>
      <c r="F534" s="3">
        <v>43497</v>
      </c>
      <c r="G534" s="2" t="str">
        <f>"9781438472812"</f>
        <v>9781438472812</v>
      </c>
      <c r="H534" s="2" t="s">
        <v>14</v>
      </c>
      <c r="I534" s="4">
        <v>43936.779166666667</v>
      </c>
      <c r="J534" s="2" t="s">
        <v>1584</v>
      </c>
    </row>
    <row r="535" spans="1:10" ht="135" x14ac:dyDescent="0.25">
      <c r="A535" s="2" t="s">
        <v>24</v>
      </c>
      <c r="B535" s="2">
        <v>792.09469999999999</v>
      </c>
      <c r="C535" s="2" t="s">
        <v>5814</v>
      </c>
      <c r="D535" s="2" t="s">
        <v>5813</v>
      </c>
      <c r="E535" s="2" t="s">
        <v>58</v>
      </c>
      <c r="F535" s="3">
        <v>43361</v>
      </c>
      <c r="G535" s="2" t="str">
        <f>"9780299318338"</f>
        <v>9780299318338</v>
      </c>
      <c r="H535" s="2" t="s">
        <v>14</v>
      </c>
      <c r="I535" s="4">
        <v>43568.244444444441</v>
      </c>
      <c r="J535" s="2" t="s">
        <v>5815</v>
      </c>
    </row>
    <row r="536" spans="1:10" ht="135" x14ac:dyDescent="0.25">
      <c r="A536" s="2" t="s">
        <v>24</v>
      </c>
      <c r="B536" s="2" t="s">
        <v>1395</v>
      </c>
      <c r="C536" s="2" t="s">
        <v>1396</v>
      </c>
      <c r="D536" s="2" t="s">
        <v>1394</v>
      </c>
      <c r="E536" s="2" t="s">
        <v>856</v>
      </c>
      <c r="F536" s="3">
        <v>43831</v>
      </c>
      <c r="G536" s="2" t="str">
        <f>"9780295746555"</f>
        <v>9780295746555</v>
      </c>
      <c r="H536" s="2" t="s">
        <v>14</v>
      </c>
      <c r="I536" s="4">
        <v>43945.527777777781</v>
      </c>
      <c r="J536" s="2" t="s">
        <v>1397</v>
      </c>
    </row>
    <row r="537" spans="1:10" ht="150" x14ac:dyDescent="0.25">
      <c r="A537" s="2" t="s">
        <v>24</v>
      </c>
      <c r="B537" s="2">
        <v>780.92</v>
      </c>
      <c r="C537" s="2" t="s">
        <v>11740</v>
      </c>
      <c r="D537" s="2" t="s">
        <v>11739</v>
      </c>
      <c r="E537" s="2" t="s">
        <v>69</v>
      </c>
      <c r="F537" s="3">
        <v>42632</v>
      </c>
      <c r="G537" s="2" t="str">
        <f>"9780253022097"</f>
        <v>9780253022097</v>
      </c>
      <c r="H537" s="2" t="s">
        <v>14</v>
      </c>
      <c r="I537" s="4">
        <v>42903.895833333336</v>
      </c>
      <c r="J537" s="2" t="s">
        <v>11741</v>
      </c>
    </row>
    <row r="538" spans="1:10" ht="210" x14ac:dyDescent="0.25">
      <c r="A538" s="2" t="s">
        <v>24</v>
      </c>
      <c r="B538" s="2">
        <v>791.43609730904097</v>
      </c>
      <c r="C538" s="2" t="s">
        <v>10263</v>
      </c>
      <c r="D538" s="2" t="s">
        <v>10262</v>
      </c>
      <c r="E538" s="2" t="s">
        <v>69</v>
      </c>
      <c r="F538" s="3">
        <v>43013</v>
      </c>
      <c r="G538" s="2" t="str">
        <f>"9780861969296"</f>
        <v>9780861969296</v>
      </c>
      <c r="H538" s="2" t="s">
        <v>14</v>
      </c>
      <c r="I538" s="4">
        <v>43074.643055555556</v>
      </c>
      <c r="J538" s="2" t="s">
        <v>10264</v>
      </c>
    </row>
    <row r="539" spans="1:10" ht="135" x14ac:dyDescent="0.25">
      <c r="A539" s="2" t="s">
        <v>24</v>
      </c>
      <c r="B539" s="2" t="s">
        <v>12523</v>
      </c>
      <c r="C539" s="2" t="s">
        <v>12524</v>
      </c>
      <c r="D539" s="2" t="s">
        <v>12522</v>
      </c>
      <c r="E539" s="2" t="s">
        <v>578</v>
      </c>
      <c r="F539" s="3">
        <v>42256</v>
      </c>
      <c r="G539" s="2" t="str">
        <f>"9780252097751"</f>
        <v>9780252097751</v>
      </c>
      <c r="H539" s="2" t="s">
        <v>14</v>
      </c>
      <c r="I539" s="4">
        <v>42799.474305555559</v>
      </c>
      <c r="J539" s="2" t="s">
        <v>12525</v>
      </c>
    </row>
    <row r="540" spans="1:10" ht="135" x14ac:dyDescent="0.25">
      <c r="A540" s="2" t="s">
        <v>24</v>
      </c>
      <c r="B540" s="2">
        <v>780.1</v>
      </c>
      <c r="C540" s="2" t="s">
        <v>3569</v>
      </c>
      <c r="D540" s="2" t="s">
        <v>3568</v>
      </c>
      <c r="E540" s="2" t="s">
        <v>521</v>
      </c>
      <c r="F540" s="3">
        <v>43753</v>
      </c>
      <c r="G540" s="2" t="str">
        <f>"9789461662910"</f>
        <v>9789461662910</v>
      </c>
      <c r="H540" s="2" t="s">
        <v>14</v>
      </c>
      <c r="I540" s="4">
        <v>43774.609722222223</v>
      </c>
      <c r="J540" s="2" t="s">
        <v>3570</v>
      </c>
    </row>
    <row r="541" spans="1:10" ht="135" x14ac:dyDescent="0.25">
      <c r="A541" s="2" t="s">
        <v>24</v>
      </c>
      <c r="B541" s="2">
        <v>791.43023309199998</v>
      </c>
      <c r="C541" s="2" t="s">
        <v>10552</v>
      </c>
      <c r="D541" s="2" t="s">
        <v>10551</v>
      </c>
      <c r="E541" s="2" t="s">
        <v>221</v>
      </c>
      <c r="F541" s="3">
        <v>41948</v>
      </c>
      <c r="G541" s="2" t="str">
        <f>"9789888313082"</f>
        <v>9789888313082</v>
      </c>
      <c r="H541" s="2" t="s">
        <v>14</v>
      </c>
      <c r="I541" s="4">
        <v>43049.768055555556</v>
      </c>
      <c r="J541" s="2" t="s">
        <v>10553</v>
      </c>
    </row>
    <row r="542" spans="1:10" ht="135" x14ac:dyDescent="0.25">
      <c r="A542" s="2" t="s">
        <v>24</v>
      </c>
      <c r="B542" s="2">
        <v>741.64094109033999</v>
      </c>
      <c r="C542" s="2" t="s">
        <v>9288</v>
      </c>
      <c r="D542" s="2" t="s">
        <v>9287</v>
      </c>
      <c r="E542" s="2" t="s">
        <v>130</v>
      </c>
      <c r="F542" s="3">
        <v>42767</v>
      </c>
      <c r="G542" s="2" t="str">
        <f>"9780813052878"</f>
        <v>9780813052878</v>
      </c>
      <c r="H542" s="2" t="s">
        <v>14</v>
      </c>
      <c r="I542" s="4">
        <v>43189.592361111114</v>
      </c>
      <c r="J542" s="2" t="s">
        <v>9289</v>
      </c>
    </row>
    <row r="543" spans="1:10" ht="135" x14ac:dyDescent="0.25">
      <c r="A543" s="2" t="s">
        <v>24</v>
      </c>
      <c r="B543" s="2" t="s">
        <v>10018</v>
      </c>
      <c r="C543" s="2" t="s">
        <v>10019</v>
      </c>
      <c r="D543" s="2" t="s">
        <v>10017</v>
      </c>
      <c r="E543" s="2" t="s">
        <v>69</v>
      </c>
      <c r="F543" s="3">
        <v>42326</v>
      </c>
      <c r="G543" s="2" t="str">
        <f>"9780253018113"</f>
        <v>9780253018113</v>
      </c>
      <c r="H543" s="2" t="s">
        <v>14</v>
      </c>
      <c r="I543" s="4">
        <v>43111.315972222219</v>
      </c>
      <c r="J543" s="2" t="s">
        <v>10020</v>
      </c>
    </row>
    <row r="544" spans="1:10" ht="135" x14ac:dyDescent="0.25">
      <c r="A544" s="2" t="s">
        <v>24</v>
      </c>
      <c r="B544" s="2" t="s">
        <v>10018</v>
      </c>
      <c r="C544" s="2" t="s">
        <v>12082</v>
      </c>
      <c r="D544" s="2" t="s">
        <v>12081</v>
      </c>
      <c r="E544" s="2" t="s">
        <v>73</v>
      </c>
      <c r="F544" s="3">
        <v>42815</v>
      </c>
      <c r="G544" s="2" t="str">
        <f>"9781452953915"</f>
        <v>9781452953915</v>
      </c>
      <c r="H544" s="2" t="s">
        <v>14</v>
      </c>
      <c r="I544" s="4">
        <v>42851.688194444447</v>
      </c>
      <c r="J544" s="2" t="s">
        <v>12083</v>
      </c>
    </row>
    <row r="545" spans="1:10" ht="135" x14ac:dyDescent="0.25">
      <c r="A545" s="2" t="s">
        <v>24</v>
      </c>
      <c r="B545" s="2" t="s">
        <v>8696</v>
      </c>
      <c r="C545" s="2" t="s">
        <v>8697</v>
      </c>
      <c r="D545" s="2" t="s">
        <v>8695</v>
      </c>
      <c r="E545" s="2" t="s">
        <v>4660</v>
      </c>
      <c r="F545" s="3">
        <v>37127</v>
      </c>
      <c r="G545" s="2" t="str">
        <f>"9780813158266"</f>
        <v>9780813158266</v>
      </c>
      <c r="H545" s="2" t="s">
        <v>14</v>
      </c>
      <c r="I545" s="4">
        <v>43264.59652777778</v>
      </c>
      <c r="J545" s="2" t="s">
        <v>8698</v>
      </c>
    </row>
    <row r="546" spans="1:10" ht="135" x14ac:dyDescent="0.25">
      <c r="A546" s="2" t="s">
        <v>24</v>
      </c>
      <c r="B546" s="2" t="s">
        <v>12053</v>
      </c>
      <c r="C546" s="2" t="s">
        <v>12054</v>
      </c>
      <c r="D546" s="2" t="s">
        <v>12052</v>
      </c>
      <c r="E546" s="2" t="s">
        <v>69</v>
      </c>
      <c r="F546" s="3">
        <v>41731</v>
      </c>
      <c r="G546" s="2" t="str">
        <f>"9780253015075"</f>
        <v>9780253015075</v>
      </c>
      <c r="H546" s="2" t="s">
        <v>14</v>
      </c>
      <c r="I546" s="4">
        <v>42858.368055555555</v>
      </c>
      <c r="J546" s="2" t="s">
        <v>12055</v>
      </c>
    </row>
    <row r="547" spans="1:10" ht="135" x14ac:dyDescent="0.25">
      <c r="A547" s="2" t="s">
        <v>24</v>
      </c>
      <c r="B547" s="2" t="s">
        <v>593</v>
      </c>
      <c r="C547" s="2" t="s">
        <v>594</v>
      </c>
      <c r="D547" s="2" t="s">
        <v>592</v>
      </c>
      <c r="E547" s="2" t="s">
        <v>130</v>
      </c>
      <c r="F547" s="3">
        <v>42983</v>
      </c>
      <c r="G547" s="2" t="str">
        <f>"9780813063041"</f>
        <v>9780813063041</v>
      </c>
      <c r="H547" s="2" t="s">
        <v>14</v>
      </c>
      <c r="I547" s="4">
        <v>44008.61041666667</v>
      </c>
      <c r="J547" s="2" t="s">
        <v>595</v>
      </c>
    </row>
    <row r="548" spans="1:10" ht="135" x14ac:dyDescent="0.25">
      <c r="A548" s="2" t="s">
        <v>24</v>
      </c>
      <c r="B548" s="2">
        <v>782.22096690000001</v>
      </c>
      <c r="C548" s="2" t="s">
        <v>6305</v>
      </c>
      <c r="D548" s="2" t="s">
        <v>6304</v>
      </c>
      <c r="E548" s="2" t="s">
        <v>69</v>
      </c>
      <c r="F548" s="3">
        <v>43125</v>
      </c>
      <c r="G548" s="2" t="str">
        <f>"9780253036025"</f>
        <v>9780253036025</v>
      </c>
      <c r="H548" s="2" t="s">
        <v>14</v>
      </c>
      <c r="I548" s="4">
        <v>43525.747916666667</v>
      </c>
      <c r="J548" s="2" t="s">
        <v>6306</v>
      </c>
    </row>
    <row r="549" spans="1:10" ht="135" x14ac:dyDescent="0.25">
      <c r="A549" s="2" t="s">
        <v>24</v>
      </c>
      <c r="B549" s="2">
        <v>791.4309561</v>
      </c>
      <c r="C549" s="2" t="s">
        <v>6222</v>
      </c>
      <c r="D549" s="2" t="s">
        <v>6221</v>
      </c>
      <c r="E549" s="2" t="s">
        <v>58</v>
      </c>
      <c r="F549" s="3">
        <v>43053</v>
      </c>
      <c r="G549" s="2" t="str">
        <f>"9780299315436"</f>
        <v>9780299315436</v>
      </c>
      <c r="H549" s="2" t="s">
        <v>14</v>
      </c>
      <c r="I549" s="4">
        <v>43532.022222222222</v>
      </c>
      <c r="J549" s="2" t="s">
        <v>6223</v>
      </c>
    </row>
    <row r="550" spans="1:10" ht="135" x14ac:dyDescent="0.25">
      <c r="A550" s="2" t="s">
        <v>24</v>
      </c>
      <c r="B550" s="2" t="s">
        <v>6439</v>
      </c>
      <c r="C550" s="2" t="s">
        <v>6440</v>
      </c>
      <c r="D550" s="2" t="s">
        <v>6438</v>
      </c>
      <c r="E550" s="2" t="s">
        <v>69</v>
      </c>
      <c r="F550" s="3">
        <v>42968</v>
      </c>
      <c r="G550" s="2" t="str">
        <f>"9780253025456"</f>
        <v>9780253025456</v>
      </c>
      <c r="H550" s="2" t="s">
        <v>14</v>
      </c>
      <c r="I550" s="4">
        <v>43517.861805555556</v>
      </c>
      <c r="J550" s="2" t="s">
        <v>6441</v>
      </c>
    </row>
    <row r="551" spans="1:10" ht="135" x14ac:dyDescent="0.25">
      <c r="A551" s="2" t="s">
        <v>24</v>
      </c>
      <c r="B551" s="2">
        <v>782.42096760000004</v>
      </c>
      <c r="C551" s="2" t="s">
        <v>6879</v>
      </c>
      <c r="D551" s="2" t="s">
        <v>6878</v>
      </c>
      <c r="E551" s="2" t="s">
        <v>1072</v>
      </c>
      <c r="F551" s="3">
        <v>39370</v>
      </c>
      <c r="G551" s="2" t="str">
        <f>"9789987081080"</f>
        <v>9789987081080</v>
      </c>
      <c r="H551" s="2" t="s">
        <v>14</v>
      </c>
      <c r="I551" s="4">
        <v>43478.929861111108</v>
      </c>
      <c r="J551" s="2" t="s">
        <v>6880</v>
      </c>
    </row>
    <row r="552" spans="1:10" ht="135" x14ac:dyDescent="0.25">
      <c r="A552" s="2" t="s">
        <v>24</v>
      </c>
      <c r="B552" s="2" t="s">
        <v>9128</v>
      </c>
      <c r="C552" s="2" t="s">
        <v>9129</v>
      </c>
      <c r="D552" s="2" t="s">
        <v>9127</v>
      </c>
      <c r="E552" s="2" t="s">
        <v>322</v>
      </c>
      <c r="F552" s="3">
        <v>42156</v>
      </c>
      <c r="G552" s="2" t="str">
        <f>"9780820348353"</f>
        <v>9780820348353</v>
      </c>
      <c r="H552" s="2" t="s">
        <v>14</v>
      </c>
      <c r="I552" s="4">
        <v>43215.40625</v>
      </c>
      <c r="J552" s="2" t="s">
        <v>9130</v>
      </c>
    </row>
    <row r="553" spans="1:10" ht="135" x14ac:dyDescent="0.25">
      <c r="A553" s="2" t="s">
        <v>24</v>
      </c>
      <c r="B553" s="2" t="s">
        <v>13065</v>
      </c>
      <c r="C553" s="2" t="s">
        <v>6163</v>
      </c>
      <c r="D553" s="2" t="s">
        <v>13064</v>
      </c>
      <c r="E553" s="2" t="s">
        <v>54</v>
      </c>
      <c r="F553" s="3">
        <v>42753</v>
      </c>
      <c r="G553" s="2" t="str">
        <f>"9781503600966"</f>
        <v>9781503600966</v>
      </c>
      <c r="H553" s="2" t="s">
        <v>14</v>
      </c>
      <c r="I553" s="4">
        <v>42739.084027777775</v>
      </c>
      <c r="J553" s="2" t="s">
        <v>13066</v>
      </c>
    </row>
    <row r="554" spans="1:10" ht="135" x14ac:dyDescent="0.25">
      <c r="A554" s="2" t="s">
        <v>24</v>
      </c>
      <c r="B554" s="2">
        <v>780.72</v>
      </c>
      <c r="C554" s="2" t="s">
        <v>9890</v>
      </c>
      <c r="D554" s="2" t="s">
        <v>9889</v>
      </c>
      <c r="E554" s="2" t="s">
        <v>69</v>
      </c>
      <c r="F554" s="3">
        <v>42156</v>
      </c>
      <c r="G554" s="2" t="str">
        <f>"9780253014566"</f>
        <v>9780253014566</v>
      </c>
      <c r="H554" s="2" t="s">
        <v>14</v>
      </c>
      <c r="I554" s="4">
        <v>43122.545138888891</v>
      </c>
      <c r="J554" s="2" t="s">
        <v>9891</v>
      </c>
    </row>
    <row r="555" spans="1:10" ht="135" x14ac:dyDescent="0.25">
      <c r="A555" s="2" t="s">
        <v>24</v>
      </c>
      <c r="B555" s="2" t="s">
        <v>9498</v>
      </c>
      <c r="C555" s="2" t="s">
        <v>9499</v>
      </c>
      <c r="D555" s="2" t="s">
        <v>9497</v>
      </c>
      <c r="E555" s="2" t="s">
        <v>73</v>
      </c>
      <c r="F555" s="3">
        <v>43084</v>
      </c>
      <c r="G555" s="2" t="str">
        <f>"9781452955988"</f>
        <v>9781452955988</v>
      </c>
      <c r="H555" s="2" t="s">
        <v>14</v>
      </c>
      <c r="I555" s="4">
        <v>43161.65</v>
      </c>
      <c r="J555" s="2" t="s">
        <v>9500</v>
      </c>
    </row>
    <row r="556" spans="1:10" ht="135" x14ac:dyDescent="0.25">
      <c r="A556" s="2" t="s">
        <v>24</v>
      </c>
      <c r="B556" s="2" t="s">
        <v>1361</v>
      </c>
      <c r="C556" s="2" t="s">
        <v>1365</v>
      </c>
      <c r="D556" s="2" t="s">
        <v>7128</v>
      </c>
      <c r="E556" s="2" t="s">
        <v>578</v>
      </c>
      <c r="F556" s="3">
        <v>41646</v>
      </c>
      <c r="G556" s="2" t="str">
        <f>"9780252095405"</f>
        <v>9780252095405</v>
      </c>
      <c r="H556" s="2" t="s">
        <v>14</v>
      </c>
      <c r="I556" s="4">
        <v>43443.952777777777</v>
      </c>
      <c r="J556" s="2" t="s">
        <v>7129</v>
      </c>
    </row>
    <row r="557" spans="1:10" ht="135" x14ac:dyDescent="0.25">
      <c r="A557" s="2" t="s">
        <v>24</v>
      </c>
      <c r="B557" s="2">
        <v>782.25309730000004</v>
      </c>
      <c r="C557" s="2" t="s">
        <v>3631</v>
      </c>
      <c r="D557" s="2" t="s">
        <v>3630</v>
      </c>
      <c r="E557" s="2" t="s">
        <v>578</v>
      </c>
      <c r="F557" s="3">
        <v>43157</v>
      </c>
      <c r="G557" s="2" t="str">
        <f>"9780252050305"</f>
        <v>9780252050305</v>
      </c>
      <c r="H557" s="2" t="s">
        <v>14</v>
      </c>
      <c r="I557" s="4">
        <v>43770.602777777778</v>
      </c>
      <c r="J557" s="2" t="s">
        <v>3632</v>
      </c>
    </row>
    <row r="558" spans="1:10" ht="135" x14ac:dyDescent="0.25">
      <c r="A558" s="2" t="s">
        <v>24</v>
      </c>
      <c r="B558" s="2">
        <v>792.02200000000005</v>
      </c>
      <c r="C558" s="2" t="s">
        <v>734</v>
      </c>
      <c r="D558" s="2" t="s">
        <v>733</v>
      </c>
      <c r="E558" s="2" t="s">
        <v>101</v>
      </c>
      <c r="F558" s="3">
        <v>43876</v>
      </c>
      <c r="G558" s="2" t="str">
        <f>"9780810141476"</f>
        <v>9780810141476</v>
      </c>
      <c r="H558" s="2" t="s">
        <v>14</v>
      </c>
      <c r="I558" s="4">
        <v>43994.456250000003</v>
      </c>
      <c r="J558" s="2" t="s">
        <v>735</v>
      </c>
    </row>
    <row r="559" spans="1:10" ht="150" x14ac:dyDescent="0.25">
      <c r="A559" s="2" t="s">
        <v>24</v>
      </c>
      <c r="B559" s="2">
        <v>782.10951090399999</v>
      </c>
      <c r="C559" s="2" t="s">
        <v>7026</v>
      </c>
      <c r="D559" s="2" t="s">
        <v>7025</v>
      </c>
      <c r="E559" s="2" t="s">
        <v>221</v>
      </c>
      <c r="F559" s="3">
        <v>43221</v>
      </c>
      <c r="G559" s="2" t="str">
        <f>"9789888455164"</f>
        <v>9789888455164</v>
      </c>
      <c r="H559" s="2" t="s">
        <v>14</v>
      </c>
      <c r="I559" s="4">
        <v>43459.681944444441</v>
      </c>
      <c r="J559" s="2" t="s">
        <v>7027</v>
      </c>
    </row>
    <row r="560" spans="1:10" ht="135" x14ac:dyDescent="0.25">
      <c r="A560" s="2" t="s">
        <v>24</v>
      </c>
      <c r="B560" s="2" t="s">
        <v>5079</v>
      </c>
      <c r="C560" s="2" t="s">
        <v>5080</v>
      </c>
      <c r="D560" s="2" t="s">
        <v>5078</v>
      </c>
      <c r="E560" s="2" t="s">
        <v>460</v>
      </c>
      <c r="F560" s="3">
        <v>42795</v>
      </c>
      <c r="G560" s="2" t="str">
        <f>"9780773549548"</f>
        <v>9780773549548</v>
      </c>
      <c r="H560" s="2" t="s">
        <v>14</v>
      </c>
      <c r="I560" s="4">
        <v>43611.482638888891</v>
      </c>
      <c r="J560" s="2" t="s">
        <v>5081</v>
      </c>
    </row>
    <row r="561" spans="1:10" ht="135" x14ac:dyDescent="0.25">
      <c r="A561" s="2" t="s">
        <v>24</v>
      </c>
      <c r="B561" s="2" t="s">
        <v>5398</v>
      </c>
      <c r="C561" s="2" t="s">
        <v>5399</v>
      </c>
      <c r="D561" s="2" t="s">
        <v>5397</v>
      </c>
      <c r="E561" s="2" t="s">
        <v>50</v>
      </c>
      <c r="F561" s="3">
        <v>43922</v>
      </c>
      <c r="G561" s="2" t="str">
        <f>"9780803246027"</f>
        <v>9780803246027</v>
      </c>
      <c r="H561" s="2" t="s">
        <v>14</v>
      </c>
      <c r="I561" s="4">
        <v>43601.651388888888</v>
      </c>
      <c r="J561" s="2" t="s">
        <v>5400</v>
      </c>
    </row>
    <row r="562" spans="1:10" ht="135" x14ac:dyDescent="0.25">
      <c r="A562" s="2" t="s">
        <v>24</v>
      </c>
      <c r="B562" s="2">
        <v>741.56960000000004</v>
      </c>
      <c r="C562" s="2" t="s">
        <v>3184</v>
      </c>
      <c r="D562" s="2" t="s">
        <v>3183</v>
      </c>
      <c r="E562" s="2" t="s">
        <v>121</v>
      </c>
      <c r="F562" s="3">
        <v>43374</v>
      </c>
      <c r="G562" s="2" t="str">
        <f>"9781609175764"</f>
        <v>9781609175764</v>
      </c>
      <c r="H562" s="2" t="s">
        <v>14</v>
      </c>
      <c r="I562" s="4">
        <v>43801.716666666667</v>
      </c>
      <c r="J562" s="2" t="s">
        <v>3185</v>
      </c>
    </row>
    <row r="563" spans="1:10" ht="135" x14ac:dyDescent="0.25">
      <c r="A563" s="2" t="s">
        <v>24</v>
      </c>
      <c r="B563" s="2">
        <v>791.45095100000003</v>
      </c>
      <c r="C563" s="2" t="s">
        <v>7256</v>
      </c>
      <c r="D563" s="2" t="s">
        <v>7255</v>
      </c>
      <c r="E563" s="2" t="s">
        <v>328</v>
      </c>
      <c r="F563" s="3">
        <v>41600</v>
      </c>
      <c r="G563" s="2" t="str">
        <f>"9780739178874"</f>
        <v>9780739178874</v>
      </c>
      <c r="H563" s="2" t="s">
        <v>14</v>
      </c>
      <c r="I563" s="4">
        <v>43431.022222222222</v>
      </c>
      <c r="J563" s="2" t="s">
        <v>7257</v>
      </c>
    </row>
    <row r="564" spans="1:10" ht="135" x14ac:dyDescent="0.25">
      <c r="A564" s="2" t="s">
        <v>24</v>
      </c>
      <c r="B564" s="2" t="s">
        <v>10894</v>
      </c>
      <c r="C564" s="2" t="s">
        <v>10895</v>
      </c>
      <c r="D564" s="2" t="s">
        <v>10893</v>
      </c>
      <c r="E564" s="2" t="s">
        <v>4660</v>
      </c>
      <c r="F564" s="3">
        <v>37012</v>
      </c>
      <c r="G564" s="2" t="str">
        <f>"9780813158297"</f>
        <v>9780813158297</v>
      </c>
      <c r="H564" s="2" t="s">
        <v>14</v>
      </c>
      <c r="I564" s="4">
        <v>43030.456250000003</v>
      </c>
      <c r="J564" s="2" t="s">
        <v>10896</v>
      </c>
    </row>
    <row r="565" spans="1:10" ht="135" x14ac:dyDescent="0.25">
      <c r="A565" s="2" t="s">
        <v>24</v>
      </c>
      <c r="B565" s="2" t="s">
        <v>1361</v>
      </c>
      <c r="C565" s="2" t="s">
        <v>1365</v>
      </c>
      <c r="D565" s="2" t="s">
        <v>7543</v>
      </c>
      <c r="E565" s="2" t="s">
        <v>578</v>
      </c>
      <c r="F565" s="3">
        <v>41866</v>
      </c>
      <c r="G565" s="2" t="str">
        <f>"9780252096549"</f>
        <v>9780252096549</v>
      </c>
      <c r="H565" s="2" t="s">
        <v>14</v>
      </c>
      <c r="I565" s="4">
        <v>43409.623611111114</v>
      </c>
      <c r="J565" s="2" t="s">
        <v>7544</v>
      </c>
    </row>
    <row r="566" spans="1:10" ht="135" x14ac:dyDescent="0.25">
      <c r="A566" s="2" t="s">
        <v>24</v>
      </c>
      <c r="B566" s="2">
        <v>787.21830920000002</v>
      </c>
      <c r="C566" s="2" t="s">
        <v>7541</v>
      </c>
      <c r="D566" s="2" t="s">
        <v>7540</v>
      </c>
      <c r="E566" s="2" t="s">
        <v>69</v>
      </c>
      <c r="F566" s="3">
        <v>42639</v>
      </c>
      <c r="G566" s="2" t="str">
        <f>"9780253022080"</f>
        <v>9780253022080</v>
      </c>
      <c r="H566" s="2" t="s">
        <v>14</v>
      </c>
      <c r="I566" s="4">
        <v>43409.632638888892</v>
      </c>
      <c r="J566" s="2" t="s">
        <v>7542</v>
      </c>
    </row>
    <row r="567" spans="1:10" ht="135" x14ac:dyDescent="0.25">
      <c r="A567" s="2" t="s">
        <v>24</v>
      </c>
      <c r="B567" s="2">
        <v>791.43340952000005</v>
      </c>
      <c r="C567" s="2" t="s">
        <v>4535</v>
      </c>
      <c r="D567" s="2" t="s">
        <v>4534</v>
      </c>
      <c r="E567" s="2" t="s">
        <v>73</v>
      </c>
      <c r="F567" s="3">
        <v>43172</v>
      </c>
      <c r="G567" s="2" t="str">
        <f>"9781452956930"</f>
        <v>9781452956930</v>
      </c>
      <c r="H567" s="2" t="s">
        <v>14</v>
      </c>
      <c r="I567" s="4">
        <v>43650.563194444447</v>
      </c>
      <c r="J567" s="2" t="s">
        <v>4536</v>
      </c>
    </row>
    <row r="568" spans="1:10" ht="135" x14ac:dyDescent="0.25">
      <c r="A568" s="2" t="s">
        <v>24</v>
      </c>
      <c r="B568" s="2">
        <v>755.4</v>
      </c>
      <c r="C568" s="2" t="s">
        <v>2354</v>
      </c>
      <c r="D568" s="2" t="s">
        <v>2353</v>
      </c>
      <c r="E568" s="2" t="s">
        <v>370</v>
      </c>
      <c r="F568" s="3">
        <v>42736</v>
      </c>
      <c r="G568" s="2" t="str">
        <f>"9780884142133"</f>
        <v>9780884142133</v>
      </c>
      <c r="H568" s="2" t="s">
        <v>14</v>
      </c>
      <c r="I568" s="4">
        <v>43891.820138888892</v>
      </c>
      <c r="J568" s="2" t="s">
        <v>2355</v>
      </c>
    </row>
    <row r="569" spans="1:10" ht="135" x14ac:dyDescent="0.25">
      <c r="A569" s="2" t="s">
        <v>24</v>
      </c>
      <c r="B569" s="2">
        <v>791.43023309199998</v>
      </c>
      <c r="C569" s="2" t="s">
        <v>568</v>
      </c>
      <c r="D569" s="2" t="s">
        <v>567</v>
      </c>
      <c r="E569" s="2" t="s">
        <v>69</v>
      </c>
      <c r="F569" s="3">
        <v>43411</v>
      </c>
      <c r="G569" s="2" t="str">
        <f>"9780861969548"</f>
        <v>9780861969548</v>
      </c>
      <c r="H569" s="2" t="s">
        <v>14</v>
      </c>
      <c r="I569" s="4">
        <v>44011.59375</v>
      </c>
      <c r="J569" s="2" t="s">
        <v>569</v>
      </c>
    </row>
    <row r="570" spans="1:10" ht="135" x14ac:dyDescent="0.25">
      <c r="A570" s="2" t="s">
        <v>24</v>
      </c>
      <c r="B570" s="2">
        <v>791.43616999999995</v>
      </c>
      <c r="C570" s="2" t="s">
        <v>3696</v>
      </c>
      <c r="D570" s="2" t="s">
        <v>3695</v>
      </c>
      <c r="E570" s="2" t="s">
        <v>526</v>
      </c>
      <c r="F570" s="3">
        <v>43313</v>
      </c>
      <c r="G570" s="2" t="str">
        <f>"9781477316016"</f>
        <v>9781477316016</v>
      </c>
      <c r="H570" s="2" t="s">
        <v>14</v>
      </c>
      <c r="I570" s="4">
        <v>43764.538888888892</v>
      </c>
      <c r="J570" s="2" t="s">
        <v>3697</v>
      </c>
    </row>
    <row r="571" spans="1:10" ht="135" x14ac:dyDescent="0.25">
      <c r="A571" s="2" t="s">
        <v>24</v>
      </c>
      <c r="B571" s="2" t="s">
        <v>10929</v>
      </c>
      <c r="C571" s="2" t="s">
        <v>10930</v>
      </c>
      <c r="D571" s="2" t="s">
        <v>10928</v>
      </c>
      <c r="E571" s="2" t="s">
        <v>4660</v>
      </c>
      <c r="F571" s="3">
        <v>41827</v>
      </c>
      <c r="G571" s="2" t="str">
        <f>"9780813165042"</f>
        <v>9780813165042</v>
      </c>
      <c r="H571" s="2" t="s">
        <v>14</v>
      </c>
      <c r="I571" s="4">
        <v>43028.524305555555</v>
      </c>
      <c r="J571" s="2" t="s">
        <v>10931</v>
      </c>
    </row>
    <row r="572" spans="1:10" ht="135" x14ac:dyDescent="0.25">
      <c r="A572" s="2" t="s">
        <v>24</v>
      </c>
      <c r="B572" s="2" t="s">
        <v>8764</v>
      </c>
      <c r="C572" s="2" t="s">
        <v>8765</v>
      </c>
      <c r="D572" s="2" t="s">
        <v>8763</v>
      </c>
      <c r="E572" s="2" t="s">
        <v>460</v>
      </c>
      <c r="F572" s="3">
        <v>43068</v>
      </c>
      <c r="G572" s="2" t="str">
        <f>"9780773552203"</f>
        <v>9780773552203</v>
      </c>
      <c r="H572" s="2" t="s">
        <v>14</v>
      </c>
      <c r="I572" s="4">
        <v>43255.463888888888</v>
      </c>
      <c r="J572" s="2" t="s">
        <v>8766</v>
      </c>
    </row>
    <row r="573" spans="1:10" ht="135" x14ac:dyDescent="0.25">
      <c r="A573" s="2" t="s">
        <v>24</v>
      </c>
      <c r="B573" s="2" t="s">
        <v>10630</v>
      </c>
      <c r="C573" s="2" t="s">
        <v>10631</v>
      </c>
      <c r="D573" s="2" t="s">
        <v>10629</v>
      </c>
      <c r="E573" s="2" t="s">
        <v>69</v>
      </c>
      <c r="F573" s="3">
        <v>42044</v>
      </c>
      <c r="G573" s="2" t="str">
        <f>"9780861969081"</f>
        <v>9780861969081</v>
      </c>
      <c r="H573" s="2" t="s">
        <v>14</v>
      </c>
      <c r="I573" s="4">
        <v>43045.816666666666</v>
      </c>
      <c r="J573" s="2" t="s">
        <v>10632</v>
      </c>
    </row>
    <row r="574" spans="1:10" ht="135" x14ac:dyDescent="0.25">
      <c r="A574" s="2" t="s">
        <v>24</v>
      </c>
      <c r="B574" s="2" t="s">
        <v>1473</v>
      </c>
      <c r="C574" s="2" t="s">
        <v>1474</v>
      </c>
      <c r="D574" s="2" t="s">
        <v>1472</v>
      </c>
      <c r="E574" s="2" t="s">
        <v>585</v>
      </c>
      <c r="F574" s="3">
        <v>43795</v>
      </c>
      <c r="G574" s="2" t="str">
        <f>"9780226481593"</f>
        <v>9780226481593</v>
      </c>
      <c r="H574" s="2" t="s">
        <v>14</v>
      </c>
      <c r="I574" s="4">
        <v>43942.531944444447</v>
      </c>
      <c r="J574" s="2" t="s">
        <v>1475</v>
      </c>
    </row>
    <row r="575" spans="1:10" ht="135" x14ac:dyDescent="0.25">
      <c r="A575" s="2" t="s">
        <v>24</v>
      </c>
      <c r="B575" s="2" t="s">
        <v>11958</v>
      </c>
      <c r="C575" s="2" t="s">
        <v>6222</v>
      </c>
      <c r="D575" s="2" t="s">
        <v>11957</v>
      </c>
      <c r="E575" s="2" t="s">
        <v>578</v>
      </c>
      <c r="F575" s="3">
        <v>41800</v>
      </c>
      <c r="G575" s="2" t="str">
        <f>"9780252096334"</f>
        <v>9780252096334</v>
      </c>
      <c r="H575" s="2" t="s">
        <v>14</v>
      </c>
      <c r="I575" s="4">
        <v>42867.663194444445</v>
      </c>
      <c r="J575" s="2" t="s">
        <v>11959</v>
      </c>
    </row>
    <row r="576" spans="1:10" ht="135" x14ac:dyDescent="0.25">
      <c r="A576" s="2" t="s">
        <v>24</v>
      </c>
      <c r="B576" s="2" t="s">
        <v>2617</v>
      </c>
      <c r="C576" s="2" t="s">
        <v>2618</v>
      </c>
      <c r="D576" s="2" t="s">
        <v>2616</v>
      </c>
      <c r="E576" s="2" t="s">
        <v>101</v>
      </c>
      <c r="F576" s="3">
        <v>43358</v>
      </c>
      <c r="G576" s="2" t="str">
        <f>"9780810137714"</f>
        <v>9780810137714</v>
      </c>
      <c r="H576" s="2" t="s">
        <v>14</v>
      </c>
      <c r="I576" s="4">
        <v>43872.658333333333</v>
      </c>
      <c r="J576" s="2" t="s">
        <v>2619</v>
      </c>
    </row>
    <row r="577" spans="1:10" ht="135" x14ac:dyDescent="0.25">
      <c r="A577" s="2" t="s">
        <v>24</v>
      </c>
      <c r="B577" s="2">
        <v>769.92</v>
      </c>
      <c r="C577" s="2" t="s">
        <v>6638</v>
      </c>
      <c r="D577" s="2" t="s">
        <v>6637</v>
      </c>
      <c r="E577" s="2" t="s">
        <v>216</v>
      </c>
      <c r="F577" s="3">
        <v>43435</v>
      </c>
      <c r="G577" s="2" t="str">
        <f>"9781438472126"</f>
        <v>9781438472126</v>
      </c>
      <c r="H577" s="2" t="s">
        <v>14</v>
      </c>
      <c r="I577" s="4">
        <v>43501.652083333334</v>
      </c>
      <c r="J577" s="2" t="s">
        <v>6639</v>
      </c>
    </row>
    <row r="578" spans="1:10" ht="135" x14ac:dyDescent="0.25">
      <c r="A578" s="2" t="s">
        <v>24</v>
      </c>
      <c r="B578" s="2">
        <v>791.43010000000004</v>
      </c>
      <c r="C578" s="2" t="s">
        <v>5835</v>
      </c>
      <c r="D578" s="2" t="s">
        <v>5834</v>
      </c>
      <c r="E578" s="2" t="s">
        <v>69</v>
      </c>
      <c r="F578" s="3">
        <v>43181</v>
      </c>
      <c r="G578" s="2" t="str">
        <f>"9780253034403"</f>
        <v>9780253034403</v>
      </c>
      <c r="H578" s="2" t="s">
        <v>14</v>
      </c>
      <c r="I578" s="4">
        <v>43566.681944444441</v>
      </c>
      <c r="J578" s="2" t="s">
        <v>5836</v>
      </c>
    </row>
    <row r="579" spans="1:10" ht="135" x14ac:dyDescent="0.25">
      <c r="A579" s="2" t="s">
        <v>24</v>
      </c>
      <c r="B579" s="2">
        <v>741.53529924072996</v>
      </c>
      <c r="C579" s="2" t="s">
        <v>5940</v>
      </c>
      <c r="D579" s="2" t="s">
        <v>5939</v>
      </c>
      <c r="E579" s="2" t="s">
        <v>310</v>
      </c>
      <c r="F579" s="3">
        <v>42838</v>
      </c>
      <c r="G579" s="2" t="str">
        <f>"9780815653967"</f>
        <v>9780815653967</v>
      </c>
      <c r="H579" s="2" t="s">
        <v>14</v>
      </c>
      <c r="I579" s="4">
        <v>43555.634722222225</v>
      </c>
      <c r="J579" s="2" t="s">
        <v>5941</v>
      </c>
    </row>
    <row r="580" spans="1:10" ht="135" x14ac:dyDescent="0.25">
      <c r="A580" s="2" t="s">
        <v>24</v>
      </c>
      <c r="B580" s="2">
        <v>791.43010000000004</v>
      </c>
      <c r="C580" s="2" t="s">
        <v>9840</v>
      </c>
      <c r="D580" s="2" t="s">
        <v>9839</v>
      </c>
      <c r="E580" s="2" t="s">
        <v>73</v>
      </c>
      <c r="F580" s="3">
        <v>41671</v>
      </c>
      <c r="G580" s="2" t="str">
        <f>"9781937561987"</f>
        <v>9781937561987</v>
      </c>
      <c r="H580" s="2" t="s">
        <v>14</v>
      </c>
      <c r="I580" s="4">
        <v>43125.497916666667</v>
      </c>
      <c r="J580" s="2" t="s">
        <v>9841</v>
      </c>
    </row>
    <row r="581" spans="1:10" ht="135" x14ac:dyDescent="0.25">
      <c r="A581" s="2" t="s">
        <v>24</v>
      </c>
      <c r="B581" s="2">
        <v>791.43023309199998</v>
      </c>
      <c r="C581" s="2" t="s">
        <v>9803</v>
      </c>
      <c r="D581" s="2" t="s">
        <v>9802</v>
      </c>
      <c r="E581" s="2" t="s">
        <v>69</v>
      </c>
      <c r="F581" s="3">
        <v>42723</v>
      </c>
      <c r="G581" s="2" t="str">
        <f>"9780253025012"</f>
        <v>9780253025012</v>
      </c>
      <c r="H581" s="2" t="s">
        <v>14</v>
      </c>
      <c r="I581" s="4">
        <v>43128.758333333331</v>
      </c>
      <c r="J581" s="2" t="s">
        <v>9804</v>
      </c>
    </row>
    <row r="582" spans="1:10" ht="135" x14ac:dyDescent="0.25">
      <c r="A582" s="2" t="s">
        <v>24</v>
      </c>
      <c r="B582" s="2">
        <v>777.3</v>
      </c>
      <c r="C582" s="2" t="s">
        <v>5152</v>
      </c>
      <c r="D582" s="2" t="s">
        <v>5151</v>
      </c>
      <c r="E582" s="2" t="s">
        <v>69</v>
      </c>
      <c r="F582" s="3">
        <v>43009</v>
      </c>
      <c r="G582" s="2" t="str">
        <f>"9780861969319"</f>
        <v>9780861969319</v>
      </c>
      <c r="H582" s="2" t="s">
        <v>14</v>
      </c>
      <c r="I582" s="4">
        <v>43609.790277777778</v>
      </c>
      <c r="J582" s="2" t="s">
        <v>5153</v>
      </c>
    </row>
    <row r="583" spans="1:10" ht="135" x14ac:dyDescent="0.25">
      <c r="A583" s="2" t="s">
        <v>24</v>
      </c>
      <c r="B583" s="2">
        <v>791.43616399999996</v>
      </c>
      <c r="C583" s="2" t="s">
        <v>1575</v>
      </c>
      <c r="D583" s="2" t="s">
        <v>6054</v>
      </c>
      <c r="E583" s="2" t="s">
        <v>578</v>
      </c>
      <c r="F583" s="3">
        <v>40392</v>
      </c>
      <c r="G583" s="2" t="str">
        <f>"9780252090332"</f>
        <v>9780252090332</v>
      </c>
      <c r="H583" s="2" t="s">
        <v>14</v>
      </c>
      <c r="I583" s="4">
        <v>43544.555555555555</v>
      </c>
      <c r="J583" s="2" t="s">
        <v>6055</v>
      </c>
    </row>
    <row r="584" spans="1:10" ht="135" x14ac:dyDescent="0.25">
      <c r="A584" s="2" t="s">
        <v>24</v>
      </c>
      <c r="B584" s="2">
        <v>791.43010000000004</v>
      </c>
      <c r="C584" s="2" t="s">
        <v>8415</v>
      </c>
      <c r="D584" s="2" t="s">
        <v>8414</v>
      </c>
      <c r="E584" s="2" t="s">
        <v>73</v>
      </c>
      <c r="F584" s="3">
        <v>43084</v>
      </c>
      <c r="G584" s="2" t="str">
        <f>"9781452955063"</f>
        <v>9781452955063</v>
      </c>
      <c r="H584" s="2" t="s">
        <v>14</v>
      </c>
      <c r="I584" s="4">
        <v>43312.34652777778</v>
      </c>
      <c r="J584" s="2" t="s">
        <v>8416</v>
      </c>
    </row>
    <row r="585" spans="1:10" ht="135" x14ac:dyDescent="0.25">
      <c r="A585" s="2" t="s">
        <v>24</v>
      </c>
      <c r="B585" s="2" t="s">
        <v>10902</v>
      </c>
      <c r="C585" s="2" t="s">
        <v>10903</v>
      </c>
      <c r="D585" s="2" t="s">
        <v>10901</v>
      </c>
      <c r="E585" s="2" t="s">
        <v>69</v>
      </c>
      <c r="F585" s="3">
        <v>42296</v>
      </c>
      <c r="G585" s="2" t="str">
        <f>"9780253017482"</f>
        <v>9780253017482</v>
      </c>
      <c r="H585" s="2" t="s">
        <v>14</v>
      </c>
      <c r="I585" s="4">
        <v>43030.414583333331</v>
      </c>
      <c r="J585" s="2" t="s">
        <v>10904</v>
      </c>
    </row>
    <row r="586" spans="1:10" ht="135" x14ac:dyDescent="0.25">
      <c r="A586" s="2" t="s">
        <v>24</v>
      </c>
      <c r="B586" s="2" t="s">
        <v>1767</v>
      </c>
      <c r="C586" s="2" t="s">
        <v>1768</v>
      </c>
      <c r="D586" s="2" t="s">
        <v>1765</v>
      </c>
      <c r="E586" s="2" t="s">
        <v>1766</v>
      </c>
      <c r="F586" s="3">
        <v>41907</v>
      </c>
      <c r="G586" s="2" t="str">
        <f>"9781476618869"</f>
        <v>9781476618869</v>
      </c>
      <c r="H586" s="2" t="s">
        <v>14</v>
      </c>
      <c r="I586" s="4">
        <v>43928.494444444441</v>
      </c>
      <c r="J586" s="2" t="s">
        <v>1769</v>
      </c>
    </row>
    <row r="587" spans="1:10" ht="135" x14ac:dyDescent="0.25">
      <c r="A587" s="2" t="s">
        <v>24</v>
      </c>
      <c r="B587" s="2">
        <v>791.43023209199998</v>
      </c>
      <c r="C587" s="2" t="s">
        <v>7468</v>
      </c>
      <c r="D587" s="2" t="s">
        <v>7467</v>
      </c>
      <c r="E587" s="2" t="s">
        <v>526</v>
      </c>
      <c r="F587" s="3">
        <v>43283</v>
      </c>
      <c r="G587" s="2" t="str">
        <f>"9781477315569"</f>
        <v>9781477315569</v>
      </c>
      <c r="H587" s="2" t="s">
        <v>14</v>
      </c>
      <c r="I587" s="4">
        <v>43414.634722222225</v>
      </c>
      <c r="J587" s="2" t="s">
        <v>7469</v>
      </c>
    </row>
    <row r="588" spans="1:10" ht="135" x14ac:dyDescent="0.25">
      <c r="A588" s="2" t="s">
        <v>24</v>
      </c>
      <c r="B588" s="2">
        <v>709.47086000000002</v>
      </c>
      <c r="C588" s="2" t="s">
        <v>7634</v>
      </c>
      <c r="D588" s="2" t="s">
        <v>7633</v>
      </c>
      <c r="E588" s="2" t="s">
        <v>58</v>
      </c>
      <c r="F588" s="3">
        <v>43158</v>
      </c>
      <c r="G588" s="2" t="str">
        <f>"9780299314934"</f>
        <v>9780299314934</v>
      </c>
      <c r="H588" s="2" t="s">
        <v>14</v>
      </c>
      <c r="I588" s="4">
        <v>43403.606944444444</v>
      </c>
      <c r="J588" s="2" t="s">
        <v>7635</v>
      </c>
    </row>
    <row r="589" spans="1:10" ht="135" x14ac:dyDescent="0.25">
      <c r="A589" s="2" t="s">
        <v>24</v>
      </c>
      <c r="B589" s="2">
        <v>786.20920000000001</v>
      </c>
      <c r="C589" s="2" t="s">
        <v>1336</v>
      </c>
      <c r="D589" s="2" t="s">
        <v>1335</v>
      </c>
      <c r="E589" s="2" t="s">
        <v>80</v>
      </c>
      <c r="F589" s="3">
        <v>41828</v>
      </c>
      <c r="G589" s="2" t="str">
        <f>"9783653041903"</f>
        <v>9783653041903</v>
      </c>
      <c r="H589" s="2" t="s">
        <v>14</v>
      </c>
      <c r="I589" s="4">
        <v>43948.520138888889</v>
      </c>
      <c r="J589" s="2" t="s">
        <v>1337</v>
      </c>
    </row>
    <row r="590" spans="1:10" ht="135" x14ac:dyDescent="0.25">
      <c r="A590" s="2" t="s">
        <v>24</v>
      </c>
      <c r="B590" s="2" t="s">
        <v>6371</v>
      </c>
      <c r="C590" s="2" t="s">
        <v>10946</v>
      </c>
      <c r="D590" s="2" t="s">
        <v>10945</v>
      </c>
      <c r="E590" s="2" t="s">
        <v>4660</v>
      </c>
      <c r="F590" s="3">
        <v>42010</v>
      </c>
      <c r="G590" s="2" t="str">
        <f>"9780813145129"</f>
        <v>9780813145129</v>
      </c>
      <c r="H590" s="2" t="s">
        <v>14</v>
      </c>
      <c r="I590" s="4">
        <v>43027.493055555555</v>
      </c>
      <c r="J590" s="2" t="s">
        <v>10947</v>
      </c>
    </row>
    <row r="591" spans="1:10" ht="150" x14ac:dyDescent="0.25">
      <c r="A591" s="2" t="s">
        <v>24</v>
      </c>
      <c r="B591" s="2">
        <v>704.94200000000001</v>
      </c>
      <c r="C591" s="2" t="s">
        <v>2674</v>
      </c>
      <c r="D591" s="2" t="s">
        <v>2673</v>
      </c>
      <c r="E591" s="2" t="s">
        <v>156</v>
      </c>
      <c r="F591" s="3">
        <v>43815</v>
      </c>
      <c r="G591" s="2" t="str">
        <f>"9781469652610"</f>
        <v>9781469652610</v>
      </c>
      <c r="H591" s="2" t="s">
        <v>14</v>
      </c>
      <c r="I591" s="4">
        <v>43866.460416666669</v>
      </c>
      <c r="J591" s="2" t="s">
        <v>2675</v>
      </c>
    </row>
    <row r="592" spans="1:10" ht="135" x14ac:dyDescent="0.25">
      <c r="A592" s="2" t="s">
        <v>24</v>
      </c>
      <c r="B592" s="2">
        <v>782.42094789999999</v>
      </c>
      <c r="C592" s="2" t="s">
        <v>1144</v>
      </c>
      <c r="D592" s="2" t="s">
        <v>9580</v>
      </c>
      <c r="E592" s="2" t="s">
        <v>856</v>
      </c>
      <c r="F592" s="3">
        <v>41726</v>
      </c>
      <c r="G592" s="2" t="str">
        <f>"9780295804897"</f>
        <v>9780295804897</v>
      </c>
      <c r="H592" s="2" t="s">
        <v>14</v>
      </c>
      <c r="I592" s="4">
        <v>43150.418055555558</v>
      </c>
      <c r="J592" s="2" t="s">
        <v>9581</v>
      </c>
    </row>
    <row r="593" spans="1:10" ht="150" x14ac:dyDescent="0.25">
      <c r="A593" s="2" t="s">
        <v>24</v>
      </c>
      <c r="B593" s="2">
        <v>780.899607307471</v>
      </c>
      <c r="C593" s="2" t="s">
        <v>3005</v>
      </c>
      <c r="D593" s="2" t="s">
        <v>3004</v>
      </c>
      <c r="E593" s="2" t="s">
        <v>156</v>
      </c>
      <c r="F593" s="3">
        <v>42142</v>
      </c>
      <c r="G593" s="2" t="str">
        <f>"9781469622712"</f>
        <v>9781469622712</v>
      </c>
      <c r="H593" s="2" t="s">
        <v>14</v>
      </c>
      <c r="I593" s="4">
        <v>43834.770833333336</v>
      </c>
      <c r="J593" s="2" t="s">
        <v>3006</v>
      </c>
    </row>
    <row r="594" spans="1:10" ht="135" x14ac:dyDescent="0.25">
      <c r="A594" s="2" t="s">
        <v>24</v>
      </c>
      <c r="B594" s="2">
        <v>791.43098199999997</v>
      </c>
      <c r="C594" s="2" t="s">
        <v>5341</v>
      </c>
      <c r="D594" s="2" t="s">
        <v>5340</v>
      </c>
      <c r="E594" s="2" t="s">
        <v>216</v>
      </c>
      <c r="F594" s="3">
        <v>43313</v>
      </c>
      <c r="G594" s="2" t="str">
        <f>"9781438470658"</f>
        <v>9781438470658</v>
      </c>
      <c r="H594" s="2" t="s">
        <v>14</v>
      </c>
      <c r="I594" s="4">
        <v>43604.604166666664</v>
      </c>
      <c r="J594" s="2" t="s">
        <v>5342</v>
      </c>
    </row>
    <row r="595" spans="1:10" ht="135" x14ac:dyDescent="0.25">
      <c r="A595" s="2" t="s">
        <v>24</v>
      </c>
      <c r="B595" s="2">
        <v>791.43097299999999</v>
      </c>
      <c r="C595" s="2" t="s">
        <v>1575</v>
      </c>
      <c r="D595" s="2" t="s">
        <v>12370</v>
      </c>
      <c r="E595" s="2" t="s">
        <v>578</v>
      </c>
      <c r="F595" s="3">
        <v>42711</v>
      </c>
      <c r="G595" s="2" t="str">
        <f>"9780252099120"</f>
        <v>9780252099120</v>
      </c>
      <c r="H595" s="2" t="s">
        <v>14</v>
      </c>
      <c r="I595" s="4">
        <v>42813.606944444444</v>
      </c>
      <c r="J595" s="2" t="s">
        <v>12371</v>
      </c>
    </row>
    <row r="596" spans="1:10" ht="135" x14ac:dyDescent="0.25">
      <c r="A596" s="2" t="s">
        <v>24</v>
      </c>
      <c r="B596" s="2">
        <v>782.42164910999998</v>
      </c>
      <c r="C596" s="2" t="s">
        <v>7326</v>
      </c>
      <c r="D596" s="2" t="s">
        <v>7325</v>
      </c>
      <c r="E596" s="2" t="s">
        <v>578</v>
      </c>
      <c r="F596" s="3">
        <v>42496</v>
      </c>
      <c r="G596" s="2" t="str">
        <f>"9780252098260"</f>
        <v>9780252098260</v>
      </c>
      <c r="H596" s="2" t="s">
        <v>14</v>
      </c>
      <c r="I596" s="4">
        <v>43425.45208333333</v>
      </c>
      <c r="J596" s="2" t="s">
        <v>7327</v>
      </c>
    </row>
    <row r="597" spans="1:10" ht="135" x14ac:dyDescent="0.25">
      <c r="A597" s="2" t="s">
        <v>24</v>
      </c>
      <c r="B597" s="2">
        <v>780.89</v>
      </c>
      <c r="C597" s="2" t="s">
        <v>12622</v>
      </c>
      <c r="D597" s="2" t="s">
        <v>12621</v>
      </c>
      <c r="E597" s="2" t="s">
        <v>578</v>
      </c>
      <c r="F597" s="3">
        <v>42130</v>
      </c>
      <c r="G597" s="2" t="str">
        <f>"9780252097331"</f>
        <v>9780252097331</v>
      </c>
      <c r="H597" s="2" t="s">
        <v>14</v>
      </c>
      <c r="I597" s="4">
        <v>42789.48541666667</v>
      </c>
      <c r="J597" s="2" t="s">
        <v>12623</v>
      </c>
    </row>
    <row r="598" spans="1:10" ht="135" x14ac:dyDescent="0.25">
      <c r="A598" s="2" t="s">
        <v>24</v>
      </c>
      <c r="B598" s="2">
        <v>791.43094299999996</v>
      </c>
      <c r="C598" s="2" t="s">
        <v>98</v>
      </c>
      <c r="D598" s="2" t="s">
        <v>96</v>
      </c>
      <c r="E598" s="2" t="s">
        <v>97</v>
      </c>
      <c r="F598" s="3">
        <v>42122</v>
      </c>
      <c r="G598" s="2" t="str">
        <f>"9780231539395"</f>
        <v>9780231539395</v>
      </c>
      <c r="H598" s="2" t="s">
        <v>14</v>
      </c>
      <c r="I598" s="4">
        <v>44072.635416666664</v>
      </c>
      <c r="J598" s="2" t="s">
        <v>99</v>
      </c>
    </row>
    <row r="599" spans="1:10" ht="135" x14ac:dyDescent="0.25">
      <c r="A599" s="2" t="s">
        <v>24</v>
      </c>
      <c r="B599" s="2" t="s">
        <v>2949</v>
      </c>
      <c r="C599" s="2" t="s">
        <v>2950</v>
      </c>
      <c r="D599" s="2" t="s">
        <v>2948</v>
      </c>
      <c r="E599" s="2" t="s">
        <v>578</v>
      </c>
      <c r="F599" s="3">
        <v>41933</v>
      </c>
      <c r="G599" s="2" t="str">
        <f>"9780252096501"</f>
        <v>9780252096501</v>
      </c>
      <c r="H599" s="2" t="s">
        <v>14</v>
      </c>
      <c r="I599" s="4">
        <v>43840.443055555559</v>
      </c>
      <c r="J599" s="2" t="s">
        <v>2951</v>
      </c>
    </row>
    <row r="600" spans="1:10" ht="135" x14ac:dyDescent="0.25">
      <c r="A600" s="2" t="s">
        <v>24</v>
      </c>
      <c r="B600" s="2">
        <v>791.43094709040997</v>
      </c>
      <c r="C600" s="2" t="s">
        <v>8286</v>
      </c>
      <c r="D600" s="2" t="s">
        <v>8285</v>
      </c>
      <c r="E600" s="2" t="s">
        <v>69</v>
      </c>
      <c r="F600" s="3">
        <v>43144</v>
      </c>
      <c r="G600" s="2" t="str">
        <f>"9780253033000"</f>
        <v>9780253033000</v>
      </c>
      <c r="H600" s="2" t="s">
        <v>14</v>
      </c>
      <c r="I600" s="4">
        <v>43326.556944444441</v>
      </c>
      <c r="J600" s="2" t="s">
        <v>8287</v>
      </c>
    </row>
    <row r="601" spans="1:10" ht="135" x14ac:dyDescent="0.25">
      <c r="A601" s="2" t="s">
        <v>24</v>
      </c>
      <c r="B601" s="2">
        <v>700.92</v>
      </c>
      <c r="C601" s="2" t="s">
        <v>3667</v>
      </c>
      <c r="D601" s="2" t="s">
        <v>3666</v>
      </c>
      <c r="E601" s="2" t="s">
        <v>54</v>
      </c>
      <c r="F601" s="3">
        <v>43046</v>
      </c>
      <c r="G601" s="2" t="str">
        <f>"9781503604032"</f>
        <v>9781503604032</v>
      </c>
      <c r="H601" s="2" t="s">
        <v>14</v>
      </c>
      <c r="I601" s="4">
        <v>43767.749305555553</v>
      </c>
      <c r="J601" s="2" t="s">
        <v>3668</v>
      </c>
    </row>
    <row r="602" spans="1:10" ht="135" x14ac:dyDescent="0.25">
      <c r="A602" s="2" t="s">
        <v>24</v>
      </c>
      <c r="B602" s="2">
        <v>781.64079930000003</v>
      </c>
      <c r="C602" s="2" t="s">
        <v>607</v>
      </c>
      <c r="D602" s="2" t="s">
        <v>605</v>
      </c>
      <c r="E602" s="2" t="s">
        <v>606</v>
      </c>
      <c r="F602" s="3">
        <v>43769</v>
      </c>
      <c r="G602" s="2" t="str">
        <f>"9781988531496"</f>
        <v>9781988531496</v>
      </c>
      <c r="H602" s="2" t="s">
        <v>14</v>
      </c>
      <c r="I602" s="4">
        <v>44008.40902777778</v>
      </c>
      <c r="J602" s="2" t="s">
        <v>608</v>
      </c>
    </row>
    <row r="603" spans="1:10" ht="135" x14ac:dyDescent="0.25">
      <c r="A603" s="2" t="s">
        <v>24</v>
      </c>
      <c r="B603" s="2" t="s">
        <v>9558</v>
      </c>
      <c r="C603" s="2" t="s">
        <v>9559</v>
      </c>
      <c r="D603" s="2" t="s">
        <v>9557</v>
      </c>
      <c r="E603" s="2" t="s">
        <v>284</v>
      </c>
      <c r="F603" s="3">
        <v>42674</v>
      </c>
      <c r="G603" s="2" t="str">
        <f>"9780824872748"</f>
        <v>9780824872748</v>
      </c>
      <c r="H603" s="2" t="s">
        <v>14</v>
      </c>
      <c r="I603" s="4">
        <v>43154.731944444444</v>
      </c>
      <c r="J603" s="2" t="s">
        <v>9560</v>
      </c>
    </row>
    <row r="604" spans="1:10" ht="135" x14ac:dyDescent="0.25">
      <c r="A604" s="2" t="s">
        <v>24</v>
      </c>
      <c r="B604" s="2">
        <v>792.09799999999996</v>
      </c>
      <c r="C604" s="2" t="s">
        <v>7691</v>
      </c>
      <c r="D604" s="2" t="s">
        <v>7690</v>
      </c>
      <c r="E604" s="2" t="s">
        <v>531</v>
      </c>
      <c r="F604" s="3">
        <v>43140</v>
      </c>
      <c r="G604" s="2" t="str">
        <f>"9780809336326"</f>
        <v>9780809336326</v>
      </c>
      <c r="H604" s="2" t="s">
        <v>14</v>
      </c>
      <c r="I604" s="4">
        <v>43399.636111111111</v>
      </c>
      <c r="J604" s="2" t="s">
        <v>7692</v>
      </c>
    </row>
    <row r="605" spans="1:10" ht="135" x14ac:dyDescent="0.25">
      <c r="A605" s="2" t="s">
        <v>24</v>
      </c>
      <c r="B605" s="2">
        <v>741.50923999999998</v>
      </c>
      <c r="C605" s="2" t="s">
        <v>8493</v>
      </c>
      <c r="D605" s="2" t="s">
        <v>8492</v>
      </c>
      <c r="E605" s="2" t="s">
        <v>322</v>
      </c>
      <c r="F605" s="3">
        <v>41730</v>
      </c>
      <c r="G605" s="2" t="str">
        <f>"9780820347073"</f>
        <v>9780820347073</v>
      </c>
      <c r="H605" s="2" t="s">
        <v>14</v>
      </c>
      <c r="I605" s="4">
        <v>43301.248611111114</v>
      </c>
      <c r="J605" s="2" t="s">
        <v>8494</v>
      </c>
    </row>
    <row r="606" spans="1:10" ht="135" x14ac:dyDescent="0.25">
      <c r="A606" s="2" t="s">
        <v>24</v>
      </c>
      <c r="B606" s="2">
        <v>780.92</v>
      </c>
      <c r="C606" s="2" t="s">
        <v>1774</v>
      </c>
      <c r="D606" s="2" t="s">
        <v>1773</v>
      </c>
      <c r="E606" s="2" t="s">
        <v>69</v>
      </c>
      <c r="F606" s="3">
        <v>39624</v>
      </c>
      <c r="G606" s="2" t="str">
        <f>"9780253028037"</f>
        <v>9780253028037</v>
      </c>
      <c r="H606" s="2" t="s">
        <v>14</v>
      </c>
      <c r="I606" s="4">
        <v>43928.455555555556</v>
      </c>
      <c r="J606" s="2" t="s">
        <v>1775</v>
      </c>
    </row>
    <row r="607" spans="1:10" ht="150" x14ac:dyDescent="0.25">
      <c r="A607" s="2" t="s">
        <v>24</v>
      </c>
      <c r="B607" s="2">
        <v>792.09520904500005</v>
      </c>
      <c r="C607" s="2" t="s">
        <v>1409</v>
      </c>
      <c r="D607" s="2" t="s">
        <v>1408</v>
      </c>
      <c r="E607" s="2" t="s">
        <v>101</v>
      </c>
      <c r="F607" s="3">
        <v>43845</v>
      </c>
      <c r="G607" s="2" t="str">
        <f>"9780810141315"</f>
        <v>9780810141315</v>
      </c>
      <c r="H607" s="2" t="s">
        <v>14</v>
      </c>
      <c r="I607" s="4">
        <v>43944.675694444442</v>
      </c>
      <c r="J607" s="2" t="s">
        <v>1410</v>
      </c>
    </row>
    <row r="608" spans="1:10" ht="135" x14ac:dyDescent="0.25">
      <c r="A608" s="2" t="s">
        <v>24</v>
      </c>
      <c r="B608" s="2">
        <v>709.44</v>
      </c>
      <c r="C608" s="2" t="s">
        <v>9464</v>
      </c>
      <c r="D608" s="2" t="s">
        <v>9463</v>
      </c>
      <c r="E608" s="2" t="s">
        <v>69</v>
      </c>
      <c r="F608" s="3">
        <v>42926</v>
      </c>
      <c r="G608" s="2" t="str">
        <f>"9780253026545"</f>
        <v>9780253026545</v>
      </c>
      <c r="H608" s="2" t="s">
        <v>14</v>
      </c>
      <c r="I608" s="4">
        <v>43165.574305555558</v>
      </c>
      <c r="J608" s="2" t="s">
        <v>9465</v>
      </c>
    </row>
    <row r="609" spans="1:10" ht="135" x14ac:dyDescent="0.25">
      <c r="A609" s="2" t="s">
        <v>24</v>
      </c>
      <c r="B609" s="2">
        <v>791.43099400000006</v>
      </c>
      <c r="C609" s="2" t="s">
        <v>7233</v>
      </c>
      <c r="D609" s="2" t="s">
        <v>7232</v>
      </c>
      <c r="E609" s="2" t="s">
        <v>328</v>
      </c>
      <c r="F609" s="3">
        <v>41341</v>
      </c>
      <c r="G609" s="2" t="str">
        <f>"9780739173251"</f>
        <v>9780739173251</v>
      </c>
      <c r="H609" s="2" t="s">
        <v>14</v>
      </c>
      <c r="I609" s="4">
        <v>43431.901388888888</v>
      </c>
      <c r="J609" s="2" t="s">
        <v>7234</v>
      </c>
    </row>
    <row r="610" spans="1:10" ht="135" x14ac:dyDescent="0.25">
      <c r="A610" s="2" t="s">
        <v>24</v>
      </c>
      <c r="B610" s="2" t="s">
        <v>4376</v>
      </c>
      <c r="C610" s="2" t="s">
        <v>1575</v>
      </c>
      <c r="D610" s="2" t="s">
        <v>4375</v>
      </c>
      <c r="E610" s="2" t="s">
        <v>41</v>
      </c>
      <c r="F610" s="3">
        <v>43557</v>
      </c>
      <c r="G610" s="2" t="str">
        <f>"9780817392574"</f>
        <v>9780817392574</v>
      </c>
      <c r="H610" s="2" t="s">
        <v>14</v>
      </c>
      <c r="I610" s="4">
        <v>43676.612500000003</v>
      </c>
      <c r="J610" s="2" t="s">
        <v>4377</v>
      </c>
    </row>
    <row r="611" spans="1:10" ht="135" x14ac:dyDescent="0.25">
      <c r="A611" s="2" t="s">
        <v>24</v>
      </c>
      <c r="B611" s="2" t="s">
        <v>12765</v>
      </c>
      <c r="C611" s="2" t="s">
        <v>12766</v>
      </c>
      <c r="D611" s="2" t="s">
        <v>12764</v>
      </c>
      <c r="E611" s="2" t="s">
        <v>2177</v>
      </c>
      <c r="F611" s="3">
        <v>42482</v>
      </c>
      <c r="G611" s="2" t="str">
        <f>"9780822375142"</f>
        <v>9780822375142</v>
      </c>
      <c r="H611" s="2" t="s">
        <v>14</v>
      </c>
      <c r="I611" s="4">
        <v>42776.65347222222</v>
      </c>
      <c r="J611" s="2" t="s">
        <v>12767</v>
      </c>
    </row>
    <row r="612" spans="1:10" ht="180" x14ac:dyDescent="0.25">
      <c r="A612" s="2" t="s">
        <v>24</v>
      </c>
      <c r="B612" s="2">
        <v>792.09810000000004</v>
      </c>
      <c r="C612" s="2" t="s">
        <v>2994</v>
      </c>
      <c r="D612" s="2" t="s">
        <v>2993</v>
      </c>
      <c r="E612" s="2" t="s">
        <v>526</v>
      </c>
      <c r="F612" s="3">
        <v>43110</v>
      </c>
      <c r="G612" s="2" t="str">
        <f>"9781477312803"</f>
        <v>9781477312803</v>
      </c>
      <c r="H612" s="2" t="s">
        <v>14</v>
      </c>
      <c r="I612" s="4">
        <v>43835.740277777775</v>
      </c>
      <c r="J612" s="2" t="s">
        <v>2995</v>
      </c>
    </row>
    <row r="613" spans="1:10" ht="135" x14ac:dyDescent="0.25">
      <c r="A613" s="2" t="s">
        <v>24</v>
      </c>
      <c r="B613" s="2">
        <v>791.43023309199998</v>
      </c>
      <c r="C613" s="2" t="s">
        <v>9458</v>
      </c>
      <c r="D613" s="2" t="s">
        <v>9457</v>
      </c>
      <c r="E613" s="2" t="s">
        <v>69</v>
      </c>
      <c r="F613" s="3">
        <v>42800</v>
      </c>
      <c r="G613" s="2" t="str">
        <f>"9780253026569"</f>
        <v>9780253026569</v>
      </c>
      <c r="H613" s="2" t="s">
        <v>14</v>
      </c>
      <c r="I613" s="4">
        <v>43165.739583333336</v>
      </c>
      <c r="J613" s="2" t="s">
        <v>9459</v>
      </c>
    </row>
    <row r="614" spans="1:10" ht="180" x14ac:dyDescent="0.25">
      <c r="A614" s="2" t="s">
        <v>24</v>
      </c>
      <c r="B614" s="2">
        <v>791.43095195000001</v>
      </c>
      <c r="C614" s="2" t="s">
        <v>6222</v>
      </c>
      <c r="D614" s="2" t="s">
        <v>10899</v>
      </c>
      <c r="E614" s="2" t="s">
        <v>54</v>
      </c>
      <c r="F614" s="3">
        <v>41948</v>
      </c>
      <c r="G614" s="2" t="str">
        <f>"9780804793476"</f>
        <v>9780804793476</v>
      </c>
      <c r="H614" s="2" t="s">
        <v>14</v>
      </c>
      <c r="I614" s="4">
        <v>43030.453472222223</v>
      </c>
      <c r="J614" s="2" t="s">
        <v>10900</v>
      </c>
    </row>
    <row r="615" spans="1:10" ht="150" x14ac:dyDescent="0.25">
      <c r="A615" s="2" t="s">
        <v>24</v>
      </c>
      <c r="D615" s="2" t="s">
        <v>615</v>
      </c>
      <c r="E615" s="2" t="s">
        <v>578</v>
      </c>
      <c r="F615" s="3">
        <v>43801</v>
      </c>
      <c r="G615" s="2" t="str">
        <f>"9780252051678"</f>
        <v>9780252051678</v>
      </c>
      <c r="H615" s="2" t="s">
        <v>14</v>
      </c>
      <c r="I615" s="4">
        <v>44007.62222222222</v>
      </c>
      <c r="J615" s="2" t="s">
        <v>616</v>
      </c>
    </row>
    <row r="616" spans="1:10" ht="135" x14ac:dyDescent="0.25">
      <c r="A616" s="2" t="s">
        <v>24</v>
      </c>
      <c r="B616" s="2" t="s">
        <v>1361</v>
      </c>
      <c r="C616" s="2" t="s">
        <v>1365</v>
      </c>
      <c r="D616" s="2" t="s">
        <v>9328</v>
      </c>
      <c r="E616" s="2" t="s">
        <v>121</v>
      </c>
      <c r="F616" s="3">
        <v>42856</v>
      </c>
      <c r="G616" s="2" t="str">
        <f>"9781609175214"</f>
        <v>9781609175214</v>
      </c>
      <c r="H616" s="2" t="s">
        <v>14</v>
      </c>
      <c r="I616" s="4">
        <v>43185.605555555558</v>
      </c>
      <c r="J616" s="2" t="s">
        <v>9329</v>
      </c>
    </row>
    <row r="617" spans="1:10" ht="135" x14ac:dyDescent="0.25">
      <c r="A617" s="2" t="s">
        <v>24</v>
      </c>
      <c r="B617" s="2">
        <v>791.43095693999999</v>
      </c>
      <c r="C617" s="2" t="s">
        <v>25</v>
      </c>
      <c r="D617" s="2" t="s">
        <v>22</v>
      </c>
      <c r="E617" s="2" t="s">
        <v>23</v>
      </c>
      <c r="F617" s="3">
        <v>43054</v>
      </c>
      <c r="G617" s="2" t="str">
        <f>"9780814339688"</f>
        <v>9780814339688</v>
      </c>
      <c r="H617" s="2" t="s">
        <v>14</v>
      </c>
      <c r="I617" s="4">
        <v>44075.734722222223</v>
      </c>
      <c r="J617" s="2" t="s">
        <v>26</v>
      </c>
    </row>
    <row r="618" spans="1:10" ht="135" x14ac:dyDescent="0.25">
      <c r="A618" s="2" t="s">
        <v>24</v>
      </c>
      <c r="B618" s="2">
        <v>709.72909049999998</v>
      </c>
      <c r="C618" s="2" t="s">
        <v>2267</v>
      </c>
      <c r="D618" s="2" t="s">
        <v>2266</v>
      </c>
      <c r="E618" s="2" t="s">
        <v>28</v>
      </c>
      <c r="F618" s="3">
        <v>43845</v>
      </c>
      <c r="G618" s="2" t="str">
        <f>"9780813943800"</f>
        <v>9780813943800</v>
      </c>
      <c r="H618" s="2" t="s">
        <v>14</v>
      </c>
      <c r="I618" s="4">
        <v>43896.480555555558</v>
      </c>
      <c r="J618" s="2" t="s">
        <v>2268</v>
      </c>
    </row>
    <row r="619" spans="1:10" ht="135" x14ac:dyDescent="0.25">
      <c r="A619" s="2" t="s">
        <v>24</v>
      </c>
      <c r="B619" s="2" t="s">
        <v>6651</v>
      </c>
      <c r="C619" s="2" t="s">
        <v>6652</v>
      </c>
      <c r="D619" s="2" t="s">
        <v>6650</v>
      </c>
      <c r="E619" s="2" t="s">
        <v>216</v>
      </c>
      <c r="F619" s="3">
        <v>43374</v>
      </c>
      <c r="G619" s="2" t="str">
        <f>"9781438471228"</f>
        <v>9781438471228</v>
      </c>
      <c r="H619" s="2" t="s">
        <v>14</v>
      </c>
      <c r="I619" s="4">
        <v>43500.527777777781</v>
      </c>
      <c r="J619" s="2" t="s">
        <v>6653</v>
      </c>
    </row>
    <row r="620" spans="1:10" ht="150" x14ac:dyDescent="0.25">
      <c r="A620" s="2" t="s">
        <v>24</v>
      </c>
      <c r="B620" s="2">
        <v>791.43652996073001</v>
      </c>
      <c r="C620" s="2" t="s">
        <v>1076</v>
      </c>
      <c r="D620" s="2" t="s">
        <v>1075</v>
      </c>
      <c r="E620" s="2" t="s">
        <v>526</v>
      </c>
      <c r="F620" s="3">
        <v>43160</v>
      </c>
      <c r="G620" s="2" t="str">
        <f>"9781477315248"</f>
        <v>9781477315248</v>
      </c>
      <c r="H620" s="2" t="s">
        <v>14</v>
      </c>
      <c r="I620" s="4">
        <v>43965.722916666666</v>
      </c>
      <c r="J620" s="2" t="s">
        <v>1077</v>
      </c>
    </row>
    <row r="621" spans="1:10" ht="135" x14ac:dyDescent="0.25">
      <c r="A621" s="2" t="s">
        <v>24</v>
      </c>
      <c r="B621" s="2" t="s">
        <v>11333</v>
      </c>
      <c r="C621" s="2" t="s">
        <v>11334</v>
      </c>
      <c r="D621" s="2" t="s">
        <v>11332</v>
      </c>
      <c r="E621" s="2" t="s">
        <v>69</v>
      </c>
      <c r="F621" s="3">
        <v>42373</v>
      </c>
      <c r="G621" s="2" t="str">
        <f>"9780253018489"</f>
        <v>9780253018489</v>
      </c>
      <c r="H621" s="2" t="s">
        <v>14</v>
      </c>
      <c r="I621" s="4">
        <v>42987.534722222219</v>
      </c>
      <c r="J621" s="2" t="s">
        <v>11335</v>
      </c>
    </row>
    <row r="622" spans="1:10" ht="135" x14ac:dyDescent="0.25">
      <c r="A622" s="2" t="s">
        <v>24</v>
      </c>
      <c r="B622" s="2">
        <v>782.42164094700001</v>
      </c>
      <c r="C622" s="2" t="s">
        <v>1192</v>
      </c>
      <c r="D622" s="2" t="s">
        <v>1191</v>
      </c>
      <c r="E622" s="2" t="s">
        <v>109</v>
      </c>
      <c r="F622" s="3">
        <v>43740</v>
      </c>
      <c r="G622" s="2" t="str">
        <f>"9780819579171"</f>
        <v>9780819579171</v>
      </c>
      <c r="H622" s="2" t="s">
        <v>14</v>
      </c>
      <c r="I622" s="4">
        <v>43956.789583333331</v>
      </c>
      <c r="J622" s="2" t="s">
        <v>1193</v>
      </c>
    </row>
    <row r="623" spans="1:10" ht="135" x14ac:dyDescent="0.25">
      <c r="A623" s="2" t="s">
        <v>24</v>
      </c>
      <c r="B623" s="2" t="s">
        <v>1574</v>
      </c>
      <c r="C623" s="2" t="s">
        <v>1575</v>
      </c>
      <c r="D623" s="2" t="s">
        <v>3325</v>
      </c>
      <c r="E623" s="2" t="s">
        <v>578</v>
      </c>
      <c r="F623" s="3">
        <v>43495</v>
      </c>
      <c r="G623" s="2" t="str">
        <f>"9780252050961"</f>
        <v>9780252050961</v>
      </c>
      <c r="H623" s="2" t="s">
        <v>14</v>
      </c>
      <c r="I623" s="4">
        <v>43790.366666666669</v>
      </c>
      <c r="J623" s="2" t="s">
        <v>3326</v>
      </c>
    </row>
    <row r="624" spans="1:10" ht="135" x14ac:dyDescent="0.25">
      <c r="A624" s="2" t="s">
        <v>24</v>
      </c>
      <c r="B624" s="2">
        <v>700.92520954999998</v>
      </c>
      <c r="C624" s="2" t="s">
        <v>828</v>
      </c>
      <c r="D624" s="2" t="s">
        <v>827</v>
      </c>
      <c r="E624" s="2" t="s">
        <v>310</v>
      </c>
      <c r="F624" s="3">
        <v>43594</v>
      </c>
      <c r="G624" s="2" t="str">
        <f>"9780815654827"</f>
        <v>9780815654827</v>
      </c>
      <c r="H624" s="2" t="s">
        <v>14</v>
      </c>
      <c r="I624" s="4">
        <v>43982.881249999999</v>
      </c>
      <c r="J624" s="2" t="s">
        <v>829</v>
      </c>
    </row>
    <row r="625" spans="1:10" ht="135" x14ac:dyDescent="0.25">
      <c r="A625" s="2" t="s">
        <v>24</v>
      </c>
      <c r="B625" s="2" t="s">
        <v>6493</v>
      </c>
      <c r="C625" s="2" t="s">
        <v>1365</v>
      </c>
      <c r="D625" s="2" t="s">
        <v>6492</v>
      </c>
      <c r="E625" s="2" t="s">
        <v>578</v>
      </c>
      <c r="F625" s="3">
        <v>38433</v>
      </c>
      <c r="G625" s="2" t="str">
        <f>"9780252095474"</f>
        <v>9780252095474</v>
      </c>
      <c r="H625" s="2" t="s">
        <v>14</v>
      </c>
      <c r="I625" s="4">
        <v>43513.731249999997</v>
      </c>
      <c r="J625" s="2" t="s">
        <v>6494</v>
      </c>
    </row>
    <row r="626" spans="1:10" ht="195" x14ac:dyDescent="0.25">
      <c r="A626" s="2" t="s">
        <v>7309</v>
      </c>
      <c r="B626" s="2" t="s">
        <v>7310</v>
      </c>
      <c r="C626" s="2" t="s">
        <v>7311</v>
      </c>
      <c r="D626" s="2" t="s">
        <v>7308</v>
      </c>
      <c r="E626" s="2" t="s">
        <v>526</v>
      </c>
      <c r="F626" s="3">
        <v>42139</v>
      </c>
      <c r="G626" s="2" t="str">
        <f>"9780292766600"</f>
        <v>9780292766600</v>
      </c>
      <c r="H626" s="2" t="s">
        <v>14</v>
      </c>
      <c r="I626" s="4">
        <v>43425.740972222222</v>
      </c>
      <c r="J626" s="2" t="s">
        <v>7312</v>
      </c>
    </row>
    <row r="627" spans="1:10" ht="135" x14ac:dyDescent="0.25">
      <c r="A627" s="2" t="s">
        <v>747</v>
      </c>
      <c r="B627" s="2">
        <v>791.45090000000005</v>
      </c>
      <c r="C627" s="2" t="s">
        <v>12893</v>
      </c>
      <c r="D627" s="2" t="s">
        <v>12892</v>
      </c>
      <c r="E627" s="2" t="s">
        <v>80</v>
      </c>
      <c r="F627" s="3">
        <v>42055</v>
      </c>
      <c r="G627" s="2" t="str">
        <f>"9783035306873"</f>
        <v>9783035306873</v>
      </c>
      <c r="H627" s="2" t="s">
        <v>14</v>
      </c>
      <c r="I627" s="4">
        <v>42762.478472222225</v>
      </c>
      <c r="J627" s="2" t="s">
        <v>12894</v>
      </c>
    </row>
    <row r="628" spans="1:10" ht="135" x14ac:dyDescent="0.25">
      <c r="A628" s="2" t="s">
        <v>747</v>
      </c>
      <c r="B628" s="2">
        <v>384.54</v>
      </c>
      <c r="C628" s="2" t="s">
        <v>2391</v>
      </c>
      <c r="D628" s="2" t="s">
        <v>2390</v>
      </c>
      <c r="E628" s="2" t="s">
        <v>578</v>
      </c>
      <c r="F628" s="3">
        <v>42311</v>
      </c>
      <c r="G628" s="2" t="str">
        <f>"9780252097782"</f>
        <v>9780252097782</v>
      </c>
      <c r="H628" s="2" t="s">
        <v>14</v>
      </c>
      <c r="I628" s="4">
        <v>43888.503472222219</v>
      </c>
      <c r="J628" s="2" t="s">
        <v>2392</v>
      </c>
    </row>
    <row r="629" spans="1:10" ht="135" x14ac:dyDescent="0.25">
      <c r="A629" s="2" t="s">
        <v>747</v>
      </c>
      <c r="B629" s="2" t="s">
        <v>748</v>
      </c>
      <c r="C629" s="2" t="s">
        <v>749</v>
      </c>
      <c r="D629" s="2" t="s">
        <v>746</v>
      </c>
      <c r="E629" s="2" t="s">
        <v>54</v>
      </c>
      <c r="F629" s="3">
        <v>43732</v>
      </c>
      <c r="G629" s="2" t="str">
        <f>"9781503610309"</f>
        <v>9781503610309</v>
      </c>
      <c r="H629" s="2" t="s">
        <v>14</v>
      </c>
      <c r="I629" s="4">
        <v>43993.262499999997</v>
      </c>
      <c r="J629" s="2" t="s">
        <v>750</v>
      </c>
    </row>
    <row r="630" spans="1:10" ht="135" x14ac:dyDescent="0.25">
      <c r="A630" s="2" t="s">
        <v>1067</v>
      </c>
      <c r="B630" s="2" t="s">
        <v>1068</v>
      </c>
      <c r="C630" s="2" t="s">
        <v>1069</v>
      </c>
      <c r="D630" s="2" t="s">
        <v>1066</v>
      </c>
      <c r="E630" s="2" t="s">
        <v>69</v>
      </c>
      <c r="F630" s="3">
        <v>42226</v>
      </c>
      <c r="G630" s="2" t="str">
        <f>"9780253017024"</f>
        <v>9780253017024</v>
      </c>
      <c r="H630" s="2" t="s">
        <v>14</v>
      </c>
      <c r="I630" s="4">
        <v>43966.616666666669</v>
      </c>
      <c r="J630" s="2" t="s">
        <v>1070</v>
      </c>
    </row>
    <row r="631" spans="1:10" ht="135" x14ac:dyDescent="0.25">
      <c r="A631" s="2" t="s">
        <v>810</v>
      </c>
      <c r="B631" s="2">
        <v>920</v>
      </c>
      <c r="C631" s="2" t="s">
        <v>7843</v>
      </c>
      <c r="D631" s="2" t="s">
        <v>7842</v>
      </c>
      <c r="E631" s="2" t="s">
        <v>723</v>
      </c>
      <c r="F631" s="3">
        <v>40817</v>
      </c>
      <c r="G631" s="2" t="str">
        <f>"9781612491530"</f>
        <v>9781612491530</v>
      </c>
      <c r="H631" s="2" t="s">
        <v>14</v>
      </c>
      <c r="I631" s="4">
        <v>43384.840277777781</v>
      </c>
      <c r="J631" s="2" t="s">
        <v>7844</v>
      </c>
    </row>
    <row r="632" spans="1:10" ht="135" x14ac:dyDescent="0.25">
      <c r="A632" s="2" t="s">
        <v>810</v>
      </c>
      <c r="B632" s="2">
        <v>700.89960729999996</v>
      </c>
      <c r="C632" s="2" t="s">
        <v>1369</v>
      </c>
      <c r="D632" s="2" t="s">
        <v>4193</v>
      </c>
      <c r="E632" s="2" t="s">
        <v>578</v>
      </c>
      <c r="F632" s="3">
        <v>43554</v>
      </c>
      <c r="G632" s="2" t="str">
        <f>"9780252051272"</f>
        <v>9780252051272</v>
      </c>
      <c r="H632" s="2" t="s">
        <v>14</v>
      </c>
      <c r="I632" s="4">
        <v>43697.788888888892</v>
      </c>
      <c r="J632" s="2" t="s">
        <v>4194</v>
      </c>
    </row>
    <row r="633" spans="1:10" ht="135" x14ac:dyDescent="0.25">
      <c r="A633" s="2" t="s">
        <v>810</v>
      </c>
      <c r="B633" s="2">
        <v>738.09700999999995</v>
      </c>
      <c r="C633" s="2" t="s">
        <v>1763</v>
      </c>
      <c r="D633" s="2" t="s">
        <v>1762</v>
      </c>
      <c r="E633" s="2" t="s">
        <v>130</v>
      </c>
      <c r="F633" s="3">
        <v>43355</v>
      </c>
      <c r="G633" s="2" t="str">
        <f>"9780813052410"</f>
        <v>9780813052410</v>
      </c>
      <c r="H633" s="2" t="s">
        <v>14</v>
      </c>
      <c r="I633" s="4">
        <v>43928.506944444445</v>
      </c>
      <c r="J633" s="2" t="s">
        <v>1764</v>
      </c>
    </row>
    <row r="634" spans="1:10" ht="135" x14ac:dyDescent="0.25">
      <c r="A634" s="2" t="s">
        <v>810</v>
      </c>
      <c r="B634" s="2">
        <v>790.20899599999996</v>
      </c>
      <c r="C634" s="2" t="s">
        <v>7204</v>
      </c>
      <c r="D634" s="2" t="s">
        <v>8239</v>
      </c>
      <c r="E634" s="2" t="s">
        <v>58</v>
      </c>
      <c r="F634" s="3">
        <v>41968</v>
      </c>
      <c r="G634" s="2" t="str">
        <f>"9780299301637"</f>
        <v>9780299301637</v>
      </c>
      <c r="H634" s="2" t="s">
        <v>14</v>
      </c>
      <c r="I634" s="4">
        <v>43333.47152777778</v>
      </c>
      <c r="J634" s="2" t="s">
        <v>8240</v>
      </c>
    </row>
    <row r="635" spans="1:10" ht="135" x14ac:dyDescent="0.25">
      <c r="A635" s="2" t="s">
        <v>810</v>
      </c>
      <c r="D635" s="2" t="s">
        <v>809</v>
      </c>
      <c r="E635" s="2" t="s">
        <v>69</v>
      </c>
      <c r="F635" s="3">
        <v>43851</v>
      </c>
      <c r="G635" s="2" t="str">
        <f>"9780253046499"</f>
        <v>9780253046499</v>
      </c>
      <c r="H635" s="2" t="s">
        <v>14</v>
      </c>
      <c r="I635" s="4">
        <v>43985.359027777777</v>
      </c>
      <c r="J635" s="2" t="s">
        <v>811</v>
      </c>
    </row>
    <row r="636" spans="1:10" ht="135" x14ac:dyDescent="0.25">
      <c r="A636" s="2" t="s">
        <v>810</v>
      </c>
      <c r="B636" s="2" t="s">
        <v>11191</v>
      </c>
      <c r="C636" s="2" t="s">
        <v>11192</v>
      </c>
      <c r="D636" s="2" t="s">
        <v>11190</v>
      </c>
      <c r="E636" s="2" t="s">
        <v>526</v>
      </c>
      <c r="F636" s="3">
        <v>42309</v>
      </c>
      <c r="G636" s="2" t="str">
        <f>"9781477307892"</f>
        <v>9781477307892</v>
      </c>
      <c r="H636" s="2" t="s">
        <v>14</v>
      </c>
      <c r="I636" s="4">
        <v>43008.76666666667</v>
      </c>
      <c r="J636" s="2" t="s">
        <v>11193</v>
      </c>
    </row>
    <row r="637" spans="1:10" ht="135" x14ac:dyDescent="0.25">
      <c r="A637" s="2" t="s">
        <v>4604</v>
      </c>
      <c r="D637" s="2" t="s">
        <v>4603</v>
      </c>
      <c r="E637" s="2" t="s">
        <v>69</v>
      </c>
      <c r="F637" s="3">
        <v>43490</v>
      </c>
      <c r="G637" s="2" t="str">
        <f>"9780253042194"</f>
        <v>9780253042194</v>
      </c>
      <c r="H637" s="2" t="s">
        <v>14</v>
      </c>
      <c r="I637" s="4">
        <v>43644.754861111112</v>
      </c>
      <c r="J637" s="2" t="s">
        <v>4605</v>
      </c>
    </row>
    <row r="638" spans="1:10" ht="135" x14ac:dyDescent="0.25">
      <c r="A638" s="2" t="s">
        <v>4406</v>
      </c>
      <c r="D638" s="2" t="s">
        <v>4405</v>
      </c>
      <c r="E638" s="2" t="s">
        <v>69</v>
      </c>
      <c r="F638" s="3">
        <v>43585</v>
      </c>
      <c r="G638" s="2" t="str">
        <f>"9780253041159"</f>
        <v>9780253041159</v>
      </c>
      <c r="H638" s="2" t="s">
        <v>14</v>
      </c>
      <c r="I638" s="4">
        <v>43672.753472222219</v>
      </c>
      <c r="J638" s="2" t="s">
        <v>4407</v>
      </c>
    </row>
    <row r="639" spans="1:10" ht="135" x14ac:dyDescent="0.25">
      <c r="A639" s="2" t="s">
        <v>10848</v>
      </c>
      <c r="B639" s="2">
        <v>70.180000000000007</v>
      </c>
      <c r="C639" s="2" t="s">
        <v>10849</v>
      </c>
      <c r="D639" s="2" t="s">
        <v>10847</v>
      </c>
      <c r="E639" s="2" t="s">
        <v>69</v>
      </c>
      <c r="F639" s="3">
        <v>42821</v>
      </c>
      <c r="G639" s="2" t="str">
        <f>"9780253026903"</f>
        <v>9780253026903</v>
      </c>
      <c r="H639" s="2" t="s">
        <v>14</v>
      </c>
      <c r="I639" s="4">
        <v>43032.005555555559</v>
      </c>
      <c r="J639" s="2" t="s">
        <v>10850</v>
      </c>
    </row>
    <row r="640" spans="1:10" ht="135" x14ac:dyDescent="0.25">
      <c r="A640" s="2" t="s">
        <v>8599</v>
      </c>
      <c r="B640" s="2">
        <v>777.09199999999998</v>
      </c>
      <c r="C640" s="2" t="s">
        <v>8600</v>
      </c>
      <c r="D640" s="2" t="s">
        <v>8598</v>
      </c>
      <c r="E640" s="2" t="s">
        <v>1550</v>
      </c>
      <c r="F640" s="3">
        <v>41760</v>
      </c>
      <c r="G640" s="2" t="str">
        <f>"9781317639886"</f>
        <v>9781317639886</v>
      </c>
      <c r="H640" s="2" t="s">
        <v>14</v>
      </c>
      <c r="I640" s="4">
        <v>43284.665277777778</v>
      </c>
      <c r="J640" s="2" t="s">
        <v>8601</v>
      </c>
    </row>
    <row r="641" spans="1:10" ht="135" x14ac:dyDescent="0.25">
      <c r="A641" s="2" t="s">
        <v>253</v>
      </c>
      <c r="D641" s="2" t="s">
        <v>252</v>
      </c>
      <c r="E641" s="2" t="s">
        <v>73</v>
      </c>
      <c r="F641" s="3">
        <v>43830</v>
      </c>
      <c r="G641" s="2" t="str">
        <f>"9781452961064"</f>
        <v>9781452961064</v>
      </c>
      <c r="H641" s="2" t="s">
        <v>14</v>
      </c>
      <c r="I641" s="4">
        <v>44049.680555555555</v>
      </c>
      <c r="J641" s="2" t="s">
        <v>254</v>
      </c>
    </row>
    <row r="642" spans="1:10" ht="135" x14ac:dyDescent="0.25">
      <c r="A642" s="2" t="s">
        <v>2144</v>
      </c>
      <c r="B642" s="2" t="s">
        <v>9211</v>
      </c>
      <c r="C642" s="2" t="s">
        <v>9212</v>
      </c>
      <c r="D642" s="2" t="s">
        <v>9210</v>
      </c>
      <c r="E642" s="2" t="s">
        <v>9021</v>
      </c>
      <c r="F642" s="3">
        <v>42632</v>
      </c>
      <c r="G642" s="2" t="str">
        <f>"9780813564494"</f>
        <v>9780813564494</v>
      </c>
      <c r="H642" s="2" t="s">
        <v>14</v>
      </c>
      <c r="I642" s="4">
        <v>43199.580555555556</v>
      </c>
      <c r="J642" s="2" t="s">
        <v>9213</v>
      </c>
    </row>
    <row r="643" spans="1:10" ht="135" x14ac:dyDescent="0.25">
      <c r="A643" s="2" t="s">
        <v>2144</v>
      </c>
      <c r="B643" s="2">
        <v>741.59730000000002</v>
      </c>
      <c r="C643" s="2" t="s">
        <v>9238</v>
      </c>
      <c r="D643" s="2" t="s">
        <v>9237</v>
      </c>
      <c r="E643" s="2" t="s">
        <v>526</v>
      </c>
      <c r="F643" s="3">
        <v>42887</v>
      </c>
      <c r="G643" s="2" t="str">
        <f>"9781477312513"</f>
        <v>9781477312513</v>
      </c>
      <c r="H643" s="2" t="s">
        <v>14</v>
      </c>
      <c r="I643" s="4">
        <v>43196.630555555559</v>
      </c>
      <c r="J643" s="2" t="s">
        <v>9239</v>
      </c>
    </row>
    <row r="644" spans="1:10" ht="135" x14ac:dyDescent="0.25">
      <c r="A644" s="2" t="s">
        <v>2144</v>
      </c>
      <c r="B644" s="2" t="s">
        <v>2799</v>
      </c>
      <c r="C644" s="2" t="s">
        <v>2800</v>
      </c>
      <c r="D644" s="2" t="s">
        <v>2797</v>
      </c>
      <c r="E644" s="2" t="s">
        <v>2798</v>
      </c>
      <c r="F644" s="3">
        <v>39101</v>
      </c>
      <c r="G644" s="2" t="str">
        <f>"9781604736939"</f>
        <v>9781604736939</v>
      </c>
      <c r="H644" s="2" t="s">
        <v>14</v>
      </c>
      <c r="I644" s="4">
        <v>43853.57708333333</v>
      </c>
      <c r="J644" s="2" t="s">
        <v>2801</v>
      </c>
    </row>
    <row r="645" spans="1:10" ht="135" x14ac:dyDescent="0.25">
      <c r="A645" s="2" t="s">
        <v>2144</v>
      </c>
      <c r="D645" s="2" t="s">
        <v>2228</v>
      </c>
      <c r="E645" s="2" t="s">
        <v>69</v>
      </c>
      <c r="F645" s="3">
        <v>43616</v>
      </c>
      <c r="G645" s="2" t="str">
        <f>"9780253041593"</f>
        <v>9780253041593</v>
      </c>
      <c r="H645" s="2" t="s">
        <v>14</v>
      </c>
      <c r="I645" s="4">
        <v>43899.633333333331</v>
      </c>
      <c r="J645" s="2" t="s">
        <v>2229</v>
      </c>
    </row>
    <row r="646" spans="1:10" ht="135" x14ac:dyDescent="0.25">
      <c r="A646" s="2" t="s">
        <v>2144</v>
      </c>
      <c r="B646" s="2">
        <v>809.9162</v>
      </c>
      <c r="C646" s="2" t="s">
        <v>2145</v>
      </c>
      <c r="D646" s="2" t="s">
        <v>2143</v>
      </c>
      <c r="E646" s="2" t="s">
        <v>1558</v>
      </c>
      <c r="F646" s="3">
        <v>42703</v>
      </c>
      <c r="G646" s="2" t="str">
        <f>"9780191056017"</f>
        <v>9780191056017</v>
      </c>
      <c r="H646" s="2" t="s">
        <v>14</v>
      </c>
      <c r="I646" s="4">
        <v>43910.684027777781</v>
      </c>
      <c r="J646" s="2" t="s">
        <v>2146</v>
      </c>
    </row>
    <row r="647" spans="1:10" ht="135" x14ac:dyDescent="0.25">
      <c r="A647" s="2" t="s">
        <v>2144</v>
      </c>
      <c r="B647" s="2">
        <v>812.50900000000001</v>
      </c>
      <c r="C647" s="2" t="s">
        <v>11372</v>
      </c>
      <c r="D647" s="2" t="s">
        <v>11371</v>
      </c>
      <c r="E647" s="2" t="s">
        <v>9021</v>
      </c>
      <c r="F647" s="3">
        <v>42009</v>
      </c>
      <c r="G647" s="2" t="str">
        <f>"9780813571409"</f>
        <v>9780813571409</v>
      </c>
      <c r="H647" s="2" t="s">
        <v>14</v>
      </c>
      <c r="I647" s="4">
        <v>42981.893750000003</v>
      </c>
      <c r="J647" s="2" t="s">
        <v>11373</v>
      </c>
    </row>
    <row r="648" spans="1:10" ht="135" x14ac:dyDescent="0.25">
      <c r="A648" s="2" t="s">
        <v>8311</v>
      </c>
      <c r="B648" s="2" t="s">
        <v>8312</v>
      </c>
      <c r="C648" s="2" t="s">
        <v>8313</v>
      </c>
      <c r="D648" s="2" t="s">
        <v>8310</v>
      </c>
      <c r="E648" s="2" t="s">
        <v>526</v>
      </c>
      <c r="F648" s="3">
        <v>42705</v>
      </c>
      <c r="G648" s="2" t="str">
        <f>"9781477310861"</f>
        <v>9781477310861</v>
      </c>
      <c r="H648" s="2" t="s">
        <v>14</v>
      </c>
      <c r="I648" s="4">
        <v>43323.647222222222</v>
      </c>
      <c r="J648" s="2" t="s">
        <v>8314</v>
      </c>
    </row>
    <row r="649" spans="1:10" ht="135" x14ac:dyDescent="0.25">
      <c r="A649" s="2" t="s">
        <v>1053</v>
      </c>
      <c r="D649" s="2" t="s">
        <v>1052</v>
      </c>
      <c r="E649" s="2" t="s">
        <v>54</v>
      </c>
      <c r="F649" s="3">
        <v>43893</v>
      </c>
      <c r="G649" s="2" t="str">
        <f>"9781503611382"</f>
        <v>9781503611382</v>
      </c>
      <c r="H649" s="2" t="s">
        <v>14</v>
      </c>
      <c r="I649" s="4">
        <v>43967.457638888889</v>
      </c>
      <c r="J649" s="2" t="s">
        <v>1054</v>
      </c>
    </row>
    <row r="650" spans="1:10" ht="135" x14ac:dyDescent="0.25">
      <c r="A650" s="2" t="s">
        <v>5763</v>
      </c>
      <c r="B650" s="2">
        <v>791.43655200000001</v>
      </c>
      <c r="C650" s="2" t="s">
        <v>5764</v>
      </c>
      <c r="D650" s="2" t="s">
        <v>5762</v>
      </c>
      <c r="E650" s="2" t="s">
        <v>97</v>
      </c>
      <c r="F650" s="3">
        <v>42437</v>
      </c>
      <c r="G650" s="2" t="str">
        <f>"9780231850940"</f>
        <v>9780231850940</v>
      </c>
      <c r="H650" s="2" t="s">
        <v>14</v>
      </c>
      <c r="I650" s="4">
        <v>43573.847222222219</v>
      </c>
      <c r="J650" s="2" t="s">
        <v>5765</v>
      </c>
    </row>
    <row r="651" spans="1:10" ht="135" x14ac:dyDescent="0.25">
      <c r="A651" s="2" t="s">
        <v>7343</v>
      </c>
      <c r="B651" s="2" t="s">
        <v>7344</v>
      </c>
      <c r="C651" s="2" t="s">
        <v>7345</v>
      </c>
      <c r="D651" s="2" t="s">
        <v>7342</v>
      </c>
      <c r="E651" s="2" t="s">
        <v>390</v>
      </c>
      <c r="F651" s="3">
        <v>43054</v>
      </c>
      <c r="G651" s="2" t="str">
        <f>"9780268101404"</f>
        <v>9780268101404</v>
      </c>
      <c r="H651" s="2" t="s">
        <v>14</v>
      </c>
      <c r="I651" s="4">
        <v>43424.624305555553</v>
      </c>
      <c r="J651" s="2" t="s">
        <v>7346</v>
      </c>
    </row>
    <row r="652" spans="1:10" ht="150" x14ac:dyDescent="0.25">
      <c r="A652" s="2" t="s">
        <v>70</v>
      </c>
      <c r="D652" s="2" t="s">
        <v>68</v>
      </c>
      <c r="E652" s="2" t="s">
        <v>69</v>
      </c>
      <c r="F652" s="3">
        <v>43956</v>
      </c>
      <c r="G652" s="2" t="str">
        <f>"9780253047755"</f>
        <v>9780253047755</v>
      </c>
      <c r="H652" s="2" t="s">
        <v>14</v>
      </c>
      <c r="I652" s="4">
        <v>44074.654166666667</v>
      </c>
      <c r="J652" s="2" t="s">
        <v>71</v>
      </c>
    </row>
    <row r="653" spans="1:10" ht="135" x14ac:dyDescent="0.25">
      <c r="A653" s="2" t="s">
        <v>272</v>
      </c>
      <c r="B653" s="2">
        <v>791.43023309199998</v>
      </c>
      <c r="C653" s="2" t="s">
        <v>1082</v>
      </c>
      <c r="D653" s="2" t="s">
        <v>5988</v>
      </c>
      <c r="E653" s="2" t="s">
        <v>37</v>
      </c>
      <c r="F653" s="3">
        <v>42695</v>
      </c>
      <c r="G653" s="2" t="str">
        <f>"9783319388182"</f>
        <v>9783319388182</v>
      </c>
      <c r="H653" s="2" t="s">
        <v>14</v>
      </c>
      <c r="I653" s="4">
        <v>43551.536805555559</v>
      </c>
      <c r="J653" s="2" t="s">
        <v>5989</v>
      </c>
    </row>
    <row r="654" spans="1:10" ht="135" x14ac:dyDescent="0.25">
      <c r="A654" s="2" t="s">
        <v>272</v>
      </c>
      <c r="B654" s="2">
        <v>302.23450000000003</v>
      </c>
      <c r="C654" s="2" t="s">
        <v>4506</v>
      </c>
      <c r="D654" s="2" t="s">
        <v>4505</v>
      </c>
      <c r="E654" s="2" t="s">
        <v>221</v>
      </c>
      <c r="F654" s="3">
        <v>42564</v>
      </c>
      <c r="G654" s="2" t="str">
        <f>"9789888313839"</f>
        <v>9789888313839</v>
      </c>
      <c r="H654" s="2" t="s">
        <v>14</v>
      </c>
      <c r="I654" s="4">
        <v>43656.772916666669</v>
      </c>
      <c r="J654" s="2" t="s">
        <v>4507</v>
      </c>
    </row>
    <row r="655" spans="1:10" ht="135" x14ac:dyDescent="0.25">
      <c r="A655" s="2" t="s">
        <v>272</v>
      </c>
      <c r="B655" s="2" t="s">
        <v>273</v>
      </c>
      <c r="C655" s="2" t="s">
        <v>274</v>
      </c>
      <c r="D655" s="2" t="s">
        <v>271</v>
      </c>
      <c r="E655" s="2" t="s">
        <v>260</v>
      </c>
      <c r="F655" s="3">
        <v>40186</v>
      </c>
      <c r="G655" s="2" t="str">
        <f>"9781439902066"</f>
        <v>9781439902066</v>
      </c>
      <c r="H655" s="2" t="s">
        <v>14</v>
      </c>
      <c r="I655" s="4">
        <v>44048.670138888891</v>
      </c>
      <c r="J655" s="2" t="s">
        <v>275</v>
      </c>
    </row>
    <row r="656" spans="1:10" ht="135" x14ac:dyDescent="0.25">
      <c r="A656" s="2" t="s">
        <v>272</v>
      </c>
      <c r="B656" s="2" t="s">
        <v>13047</v>
      </c>
      <c r="C656" s="2" t="s">
        <v>13048</v>
      </c>
      <c r="D656" s="2" t="s">
        <v>13046</v>
      </c>
      <c r="E656" s="2" t="s">
        <v>73</v>
      </c>
      <c r="F656" s="3">
        <v>41944</v>
      </c>
      <c r="G656" s="2" t="str">
        <f>"9781452942797"</f>
        <v>9781452942797</v>
      </c>
      <c r="H656" s="2" t="s">
        <v>14</v>
      </c>
      <c r="I656" s="4">
        <v>42746.084027777775</v>
      </c>
      <c r="J656" s="2" t="s">
        <v>13049</v>
      </c>
    </row>
    <row r="657" spans="1:10" ht="135" x14ac:dyDescent="0.25">
      <c r="A657" s="2" t="s">
        <v>272</v>
      </c>
      <c r="B657" s="2">
        <v>709.05015000000003</v>
      </c>
      <c r="C657" s="2" t="s">
        <v>1082</v>
      </c>
      <c r="D657" s="2" t="s">
        <v>8034</v>
      </c>
      <c r="E657" s="2" t="s">
        <v>37</v>
      </c>
      <c r="F657" s="3">
        <v>42930</v>
      </c>
      <c r="G657" s="2" t="str">
        <f>"9783319450865"</f>
        <v>9783319450865</v>
      </c>
      <c r="H657" s="2" t="s">
        <v>14</v>
      </c>
      <c r="I657" s="4">
        <v>43362.46875</v>
      </c>
      <c r="J657" s="2" t="s">
        <v>8035</v>
      </c>
    </row>
    <row r="658" spans="1:10" ht="135" x14ac:dyDescent="0.25">
      <c r="A658" s="2" t="s">
        <v>272</v>
      </c>
      <c r="B658" s="2">
        <v>302.23430889999997</v>
      </c>
      <c r="C658" s="2" t="s">
        <v>1575</v>
      </c>
      <c r="D658" s="2" t="s">
        <v>12645</v>
      </c>
      <c r="E658" s="2" t="s">
        <v>11785</v>
      </c>
      <c r="F658" s="3">
        <v>42256</v>
      </c>
      <c r="G658" s="2" t="str">
        <f>"9780472121212"</f>
        <v>9780472121212</v>
      </c>
      <c r="H658" s="2" t="s">
        <v>14</v>
      </c>
      <c r="I658" s="4">
        <v>42786.705555555556</v>
      </c>
      <c r="J658" s="2" t="s">
        <v>12646</v>
      </c>
    </row>
    <row r="659" spans="1:10" ht="135" x14ac:dyDescent="0.25">
      <c r="A659" s="2" t="s">
        <v>272</v>
      </c>
      <c r="B659" s="2">
        <v>306.43</v>
      </c>
      <c r="C659" s="2" t="s">
        <v>8903</v>
      </c>
      <c r="D659" s="2" t="s">
        <v>8901</v>
      </c>
      <c r="E659" s="2" t="s">
        <v>8902</v>
      </c>
      <c r="F659" s="3">
        <v>42005</v>
      </c>
      <c r="G659" s="2" t="str">
        <f>"9789812873507"</f>
        <v>9789812873507</v>
      </c>
      <c r="H659" s="2" t="s">
        <v>14</v>
      </c>
      <c r="I659" s="4">
        <v>43241.685416666667</v>
      </c>
      <c r="J659" s="2" t="s">
        <v>8904</v>
      </c>
    </row>
    <row r="660" spans="1:10" ht="135" x14ac:dyDescent="0.25">
      <c r="A660" s="2" t="s">
        <v>272</v>
      </c>
      <c r="B660" s="2">
        <v>306.48409670000001</v>
      </c>
      <c r="C660" s="2" t="s">
        <v>5059</v>
      </c>
      <c r="D660" s="2" t="s">
        <v>5058</v>
      </c>
      <c r="E660" s="2" t="s">
        <v>69</v>
      </c>
      <c r="F660" s="3">
        <v>43185</v>
      </c>
      <c r="G660" s="2" t="str">
        <f>"9780253032461"</f>
        <v>9780253032461</v>
      </c>
      <c r="H660" s="2" t="s">
        <v>14</v>
      </c>
      <c r="I660" s="4">
        <v>43611.703472222223</v>
      </c>
      <c r="J660" s="2" t="s">
        <v>5060</v>
      </c>
    </row>
    <row r="661" spans="1:10" ht="135" x14ac:dyDescent="0.25">
      <c r="A661" s="2" t="s">
        <v>272</v>
      </c>
      <c r="B661" s="2">
        <v>791.43098199999997</v>
      </c>
      <c r="C661" s="2" t="s">
        <v>1082</v>
      </c>
      <c r="D661" s="2" t="s">
        <v>6618</v>
      </c>
      <c r="E661" s="2" t="s">
        <v>37</v>
      </c>
      <c r="F661" s="3">
        <v>42948</v>
      </c>
      <c r="G661" s="2" t="str">
        <f>"9783319551913"</f>
        <v>9783319551913</v>
      </c>
      <c r="H661" s="2" t="s">
        <v>14</v>
      </c>
      <c r="I661" s="4">
        <v>43502.756249999999</v>
      </c>
      <c r="J661" s="2" t="s">
        <v>6619</v>
      </c>
    </row>
    <row r="662" spans="1:10" ht="135" x14ac:dyDescent="0.25">
      <c r="A662" s="2" t="s">
        <v>272</v>
      </c>
      <c r="B662" s="2">
        <v>302.23430941090299</v>
      </c>
      <c r="C662" s="2" t="s">
        <v>428</v>
      </c>
      <c r="D662" s="2" t="s">
        <v>427</v>
      </c>
      <c r="E662" s="2" t="s">
        <v>69</v>
      </c>
      <c r="F662" s="3">
        <v>41659</v>
      </c>
      <c r="G662" s="2" t="str">
        <f>"9780861969180"</f>
        <v>9780861969180</v>
      </c>
      <c r="H662" s="2" t="s">
        <v>14</v>
      </c>
      <c r="I662" s="4">
        <v>44025.402777777781</v>
      </c>
      <c r="J662" s="2" t="s">
        <v>429</v>
      </c>
    </row>
    <row r="663" spans="1:10" ht="165" x14ac:dyDescent="0.25">
      <c r="A663" s="2" t="s">
        <v>272</v>
      </c>
      <c r="B663" s="2" t="s">
        <v>10234</v>
      </c>
      <c r="C663" s="2" t="s">
        <v>10235</v>
      </c>
      <c r="D663" s="2" t="s">
        <v>10233</v>
      </c>
      <c r="E663" s="2" t="s">
        <v>80</v>
      </c>
      <c r="F663" s="3">
        <v>42537</v>
      </c>
      <c r="G663" s="2" t="str">
        <f>"9783035308334"</f>
        <v>9783035308334</v>
      </c>
      <c r="H663" s="2" t="s">
        <v>14</v>
      </c>
      <c r="I663" s="4">
        <v>43077.737500000003</v>
      </c>
      <c r="J663" s="2" t="s">
        <v>10236</v>
      </c>
    </row>
    <row r="664" spans="1:10" ht="135" x14ac:dyDescent="0.25">
      <c r="A664" s="2" t="s">
        <v>3123</v>
      </c>
      <c r="B664" s="2">
        <v>792.8</v>
      </c>
      <c r="C664" s="2" t="s">
        <v>3242</v>
      </c>
      <c r="D664" s="2" t="s">
        <v>3241</v>
      </c>
      <c r="E664" s="2" t="s">
        <v>578</v>
      </c>
      <c r="F664" s="3">
        <v>43397</v>
      </c>
      <c r="G664" s="2" t="str">
        <f>"9780252050787"</f>
        <v>9780252050787</v>
      </c>
      <c r="H664" s="2" t="s">
        <v>14</v>
      </c>
      <c r="I664" s="4">
        <v>43796.461111111108</v>
      </c>
      <c r="J664" s="2" t="s">
        <v>3243</v>
      </c>
    </row>
    <row r="665" spans="1:10" ht="135" x14ac:dyDescent="0.25">
      <c r="A665" s="2" t="s">
        <v>3123</v>
      </c>
      <c r="B665" s="2" t="s">
        <v>3124</v>
      </c>
      <c r="C665" s="2" t="s">
        <v>3125</v>
      </c>
      <c r="D665" s="2" t="s">
        <v>3122</v>
      </c>
      <c r="E665" s="2" t="s">
        <v>221</v>
      </c>
      <c r="F665" s="3">
        <v>36526</v>
      </c>
      <c r="G665" s="2" t="str">
        <f>"9789882200661"</f>
        <v>9789882200661</v>
      </c>
      <c r="H665" s="2" t="s">
        <v>14</v>
      </c>
      <c r="I665" s="4">
        <v>43809.434027777781</v>
      </c>
      <c r="J665" s="2" t="s">
        <v>3126</v>
      </c>
    </row>
    <row r="666" spans="1:10" ht="135" x14ac:dyDescent="0.25">
      <c r="A666" s="2" t="s">
        <v>3123</v>
      </c>
      <c r="B666" s="2">
        <v>792.8</v>
      </c>
      <c r="C666" s="2" t="s">
        <v>8693</v>
      </c>
      <c r="D666" s="2" t="s">
        <v>8692</v>
      </c>
      <c r="E666" s="2" t="s">
        <v>109</v>
      </c>
      <c r="F666" s="3">
        <v>41583</v>
      </c>
      <c r="G666" s="2" t="str">
        <f>"9780819574091"</f>
        <v>9780819574091</v>
      </c>
      <c r="H666" s="2" t="s">
        <v>14</v>
      </c>
      <c r="I666" s="4">
        <v>43265.601388888892</v>
      </c>
      <c r="J666" s="2" t="s">
        <v>8694</v>
      </c>
    </row>
    <row r="667" spans="1:10" ht="135" x14ac:dyDescent="0.25">
      <c r="A667" s="2" t="s">
        <v>374</v>
      </c>
      <c r="B667" s="2">
        <v>1.4</v>
      </c>
      <c r="C667" s="2" t="s">
        <v>5583</v>
      </c>
      <c r="D667" s="2" t="s">
        <v>5582</v>
      </c>
      <c r="E667" s="2" t="s">
        <v>54</v>
      </c>
      <c r="F667" s="3">
        <v>42172</v>
      </c>
      <c r="G667" s="2" t="str">
        <f>"9780804795722"</f>
        <v>9780804795722</v>
      </c>
      <c r="H667" s="2" t="s">
        <v>14</v>
      </c>
      <c r="I667" s="4">
        <v>43587.369444444441</v>
      </c>
      <c r="J667" s="2" t="s">
        <v>5584</v>
      </c>
    </row>
    <row r="668" spans="1:10" ht="135" x14ac:dyDescent="0.25">
      <c r="A668" s="2" t="s">
        <v>374</v>
      </c>
      <c r="B668" s="2">
        <v>28.55</v>
      </c>
      <c r="C668" s="2" t="s">
        <v>752</v>
      </c>
      <c r="D668" s="2" t="s">
        <v>751</v>
      </c>
      <c r="E668" s="2" t="s">
        <v>65</v>
      </c>
      <c r="F668" s="3">
        <v>43888</v>
      </c>
      <c r="G668" s="2" t="str">
        <f>"9780806166865"</f>
        <v>9780806166865</v>
      </c>
      <c r="H668" s="2" t="s">
        <v>14</v>
      </c>
      <c r="I668" s="4">
        <v>43992.810416666667</v>
      </c>
      <c r="J668" s="2" t="s">
        <v>753</v>
      </c>
    </row>
    <row r="669" spans="1:10" ht="135" x14ac:dyDescent="0.25">
      <c r="A669" s="2" t="s">
        <v>374</v>
      </c>
      <c r="B669" s="2">
        <v>1.3028500000000001</v>
      </c>
      <c r="C669" s="2" t="s">
        <v>2543</v>
      </c>
      <c r="D669" s="2" t="s">
        <v>2542</v>
      </c>
      <c r="E669" s="2" t="s">
        <v>101</v>
      </c>
      <c r="F669" s="3">
        <v>43753</v>
      </c>
      <c r="G669" s="2" t="str">
        <f>"9780810140868"</f>
        <v>9780810140868</v>
      </c>
      <c r="H669" s="2" t="s">
        <v>14</v>
      </c>
      <c r="I669" s="4">
        <v>43877.533333333333</v>
      </c>
      <c r="J669" s="2" t="s">
        <v>2544</v>
      </c>
    </row>
    <row r="670" spans="1:10" ht="135" x14ac:dyDescent="0.25">
      <c r="A670" s="2" t="s">
        <v>374</v>
      </c>
      <c r="B670" s="2">
        <v>16.929107200000001</v>
      </c>
      <c r="C670" s="2" t="s">
        <v>9179</v>
      </c>
      <c r="D670" s="2" t="s">
        <v>9178</v>
      </c>
      <c r="E670" s="2" t="s">
        <v>7161</v>
      </c>
      <c r="F670" s="3">
        <v>42019</v>
      </c>
      <c r="G670" s="2" t="str">
        <f>"9780838912959"</f>
        <v>9780838912959</v>
      </c>
      <c r="H670" s="2" t="s">
        <v>14</v>
      </c>
      <c r="I670" s="4">
        <v>43203.353472222225</v>
      </c>
      <c r="J670" s="2" t="s">
        <v>9180</v>
      </c>
    </row>
    <row r="671" spans="1:10" ht="135" x14ac:dyDescent="0.25">
      <c r="A671" s="2" t="s">
        <v>374</v>
      </c>
      <c r="B671" s="2" t="s">
        <v>10452</v>
      </c>
      <c r="C671" s="2" t="s">
        <v>10453</v>
      </c>
      <c r="D671" s="2" t="s">
        <v>10451</v>
      </c>
      <c r="E671" s="2" t="s">
        <v>2089</v>
      </c>
      <c r="F671" s="3">
        <v>41730</v>
      </c>
      <c r="G671" s="2" t="str">
        <f>"9781575068800"</f>
        <v>9781575068800</v>
      </c>
      <c r="H671" s="2" t="s">
        <v>14</v>
      </c>
      <c r="I671" s="4">
        <v>43056.344444444447</v>
      </c>
      <c r="J671" s="2" t="s">
        <v>10454</v>
      </c>
    </row>
    <row r="672" spans="1:10" ht="135" x14ac:dyDescent="0.25">
      <c r="A672" s="2" t="s">
        <v>374</v>
      </c>
      <c r="B672" s="2" t="s">
        <v>375</v>
      </c>
      <c r="C672" s="2" t="s">
        <v>376</v>
      </c>
      <c r="D672" s="2" t="s">
        <v>373</v>
      </c>
      <c r="E672" s="2" t="s">
        <v>101</v>
      </c>
      <c r="F672" s="3">
        <v>43480</v>
      </c>
      <c r="G672" s="2" t="str">
        <f>"9780810139145"</f>
        <v>9780810139145</v>
      </c>
      <c r="H672" s="2" t="s">
        <v>14</v>
      </c>
      <c r="I672" s="4">
        <v>44032.35833333333</v>
      </c>
      <c r="J672" s="2" t="s">
        <v>377</v>
      </c>
    </row>
    <row r="673" spans="1:10" ht="135" x14ac:dyDescent="0.25">
      <c r="A673" s="2" t="s">
        <v>11244</v>
      </c>
      <c r="B673" s="2" t="s">
        <v>1068</v>
      </c>
      <c r="C673" s="2" t="s">
        <v>12917</v>
      </c>
      <c r="D673" s="2" t="s">
        <v>12916</v>
      </c>
      <c r="E673" s="2" t="s">
        <v>69</v>
      </c>
      <c r="F673" s="3">
        <v>42184</v>
      </c>
      <c r="G673" s="2" t="str">
        <f>"9780253017031"</f>
        <v>9780253017031</v>
      </c>
      <c r="H673" s="2" t="s">
        <v>14</v>
      </c>
      <c r="I673" s="4">
        <v>42758.852083333331</v>
      </c>
      <c r="J673" s="2" t="s">
        <v>12918</v>
      </c>
    </row>
    <row r="674" spans="1:10" ht="135" x14ac:dyDescent="0.25">
      <c r="A674" s="2" t="s">
        <v>11244</v>
      </c>
      <c r="B674" s="2">
        <v>16.78894</v>
      </c>
      <c r="C674" s="2" t="s">
        <v>11245</v>
      </c>
      <c r="D674" s="2" t="s">
        <v>11243</v>
      </c>
      <c r="E674" s="2" t="s">
        <v>69</v>
      </c>
      <c r="F674" s="3">
        <v>42478</v>
      </c>
      <c r="G674" s="2" t="str">
        <f>"9780253019356"</f>
        <v>9780253019356</v>
      </c>
      <c r="H674" s="2" t="s">
        <v>14</v>
      </c>
      <c r="I674" s="4">
        <v>42999.57916666667</v>
      </c>
      <c r="J674" s="2" t="s">
        <v>11246</v>
      </c>
    </row>
    <row r="675" spans="1:10" ht="135" x14ac:dyDescent="0.25">
      <c r="A675" s="2" t="s">
        <v>4829</v>
      </c>
      <c r="B675" s="2">
        <v>51.09</v>
      </c>
      <c r="C675" s="2" t="s">
        <v>4830</v>
      </c>
      <c r="D675" s="2" t="s">
        <v>4828</v>
      </c>
      <c r="E675" s="2" t="s">
        <v>531</v>
      </c>
      <c r="F675" s="3">
        <v>42683</v>
      </c>
      <c r="G675" s="2" t="str">
        <f>"9780809335459"</f>
        <v>9780809335459</v>
      </c>
      <c r="H675" s="2" t="s">
        <v>14</v>
      </c>
      <c r="I675" s="4">
        <v>43623.821527777778</v>
      </c>
      <c r="J675" s="2" t="s">
        <v>4831</v>
      </c>
    </row>
    <row r="676" spans="1:10" ht="135" x14ac:dyDescent="0.25">
      <c r="A676" s="2" t="s">
        <v>3588</v>
      </c>
      <c r="B676" s="2">
        <v>341.767</v>
      </c>
      <c r="C676" s="2" t="s">
        <v>3589</v>
      </c>
      <c r="D676" s="2" t="s">
        <v>3587</v>
      </c>
      <c r="E676" s="2" t="s">
        <v>69</v>
      </c>
      <c r="F676" s="3">
        <v>43341</v>
      </c>
      <c r="G676" s="2" t="str">
        <f>"9780253037947"</f>
        <v>9780253037947</v>
      </c>
      <c r="H676" s="2" t="s">
        <v>14</v>
      </c>
      <c r="I676" s="4">
        <v>43773.613888888889</v>
      </c>
      <c r="J676" s="2" t="s">
        <v>3590</v>
      </c>
    </row>
    <row r="677" spans="1:10" ht="165" x14ac:dyDescent="0.25">
      <c r="A677" s="2" t="s">
        <v>1687</v>
      </c>
      <c r="B677" s="2">
        <v>28.909409029999999</v>
      </c>
      <c r="C677" s="2" t="s">
        <v>619</v>
      </c>
      <c r="D677" s="2" t="s">
        <v>8432</v>
      </c>
      <c r="E677" s="2" t="s">
        <v>37</v>
      </c>
      <c r="F677" s="3">
        <v>43012</v>
      </c>
      <c r="G677" s="2" t="str">
        <f>"9783319533667"</f>
        <v>9783319533667</v>
      </c>
      <c r="H677" s="2" t="s">
        <v>14</v>
      </c>
      <c r="I677" s="4">
        <v>43308.655555555553</v>
      </c>
      <c r="J677" s="2" t="s">
        <v>8433</v>
      </c>
    </row>
    <row r="678" spans="1:10" ht="135" x14ac:dyDescent="0.25">
      <c r="A678" s="2" t="s">
        <v>1687</v>
      </c>
      <c r="B678" s="2">
        <v>820.90009999999995</v>
      </c>
      <c r="C678" s="2" t="s">
        <v>1688</v>
      </c>
      <c r="D678" s="2" t="s">
        <v>1685</v>
      </c>
      <c r="E678" s="2" t="s">
        <v>1686</v>
      </c>
      <c r="F678" s="3">
        <v>41746</v>
      </c>
      <c r="G678" s="2" t="str">
        <f>"9781782042730"</f>
        <v>9781782042730</v>
      </c>
      <c r="H678" s="2" t="s">
        <v>14</v>
      </c>
      <c r="I678" s="4">
        <v>43932.456250000003</v>
      </c>
      <c r="J678" s="2" t="s">
        <v>1689</v>
      </c>
    </row>
    <row r="679" spans="1:10" ht="135" x14ac:dyDescent="0.25">
      <c r="A679" s="2" t="s">
        <v>1687</v>
      </c>
      <c r="B679" s="2" t="s">
        <v>12443</v>
      </c>
      <c r="C679" s="2" t="s">
        <v>12444</v>
      </c>
      <c r="D679" s="2" t="s">
        <v>12442</v>
      </c>
      <c r="E679" s="2" t="s">
        <v>216</v>
      </c>
      <c r="F679" s="3">
        <v>38470</v>
      </c>
      <c r="G679" s="2" t="str">
        <f>"9780791483398"</f>
        <v>9780791483398</v>
      </c>
      <c r="H679" s="2" t="s">
        <v>14</v>
      </c>
      <c r="I679" s="4">
        <v>42806.593055555553</v>
      </c>
      <c r="J679" s="2" t="s">
        <v>12445</v>
      </c>
    </row>
    <row r="680" spans="1:10" ht="135" x14ac:dyDescent="0.25">
      <c r="A680" s="2" t="s">
        <v>8365</v>
      </c>
      <c r="B680" s="2">
        <v>16.510000000000002</v>
      </c>
      <c r="C680" s="2" t="s">
        <v>8366</v>
      </c>
      <c r="D680" s="2" t="s">
        <v>8364</v>
      </c>
      <c r="E680" s="2" t="s">
        <v>846</v>
      </c>
      <c r="F680" s="3">
        <v>40877</v>
      </c>
      <c r="G680" s="2" t="str">
        <f>"9781487513306"</f>
        <v>9781487513306</v>
      </c>
      <c r="H680" s="2" t="s">
        <v>14</v>
      </c>
      <c r="I680" s="4">
        <v>43316.435416666667</v>
      </c>
      <c r="J680" s="2" t="s">
        <v>8367</v>
      </c>
    </row>
    <row r="681" spans="1:10" ht="135" x14ac:dyDescent="0.25">
      <c r="A681" s="2" t="s">
        <v>681</v>
      </c>
      <c r="D681" s="2" t="s">
        <v>680</v>
      </c>
      <c r="E681" s="2" t="s">
        <v>54</v>
      </c>
      <c r="F681" s="3">
        <v>43914</v>
      </c>
      <c r="G681" s="2" t="str">
        <f>"9781503612129"</f>
        <v>9781503612129</v>
      </c>
      <c r="H681" s="2" t="s">
        <v>14</v>
      </c>
      <c r="I681" s="4">
        <v>44000.493750000001</v>
      </c>
      <c r="J681" s="2" t="s">
        <v>682</v>
      </c>
    </row>
    <row r="682" spans="1:10" ht="135" x14ac:dyDescent="0.25">
      <c r="A682" s="2" t="s">
        <v>1855</v>
      </c>
      <c r="B682" s="2">
        <v>909</v>
      </c>
      <c r="C682" s="2" t="s">
        <v>1856</v>
      </c>
      <c r="D682" s="2" t="s">
        <v>1853</v>
      </c>
      <c r="E682" s="2" t="s">
        <v>1854</v>
      </c>
      <c r="F682" s="3">
        <v>42116</v>
      </c>
      <c r="G682" s="2" t="str">
        <f>"9781611687545"</f>
        <v>9781611687545</v>
      </c>
      <c r="H682" s="2" t="s">
        <v>14</v>
      </c>
      <c r="I682" s="4">
        <v>43924.427083333336</v>
      </c>
      <c r="J682" s="2" t="s">
        <v>1857</v>
      </c>
    </row>
    <row r="683" spans="1:10" ht="135" x14ac:dyDescent="0.25">
      <c r="A683" s="2" t="s">
        <v>1855</v>
      </c>
      <c r="C683" s="2" t="s">
        <v>12841</v>
      </c>
      <c r="D683" s="2" t="s">
        <v>12840</v>
      </c>
      <c r="E683" s="2" t="s">
        <v>460</v>
      </c>
      <c r="F683" s="3">
        <v>42577</v>
      </c>
      <c r="G683" s="2" t="str">
        <f>"9780773599611"</f>
        <v>9780773599611</v>
      </c>
      <c r="H683" s="2" t="s">
        <v>14</v>
      </c>
      <c r="I683" s="4">
        <v>42769.620138888888</v>
      </c>
      <c r="J683" s="2" t="s">
        <v>12842</v>
      </c>
    </row>
    <row r="684" spans="1:10" ht="150" x14ac:dyDescent="0.25">
      <c r="A684" s="2" t="s">
        <v>1855</v>
      </c>
      <c r="B684" s="2">
        <v>915.10400000000004</v>
      </c>
      <c r="C684" s="2" t="s">
        <v>1396</v>
      </c>
      <c r="D684" s="2" t="s">
        <v>6155</v>
      </c>
      <c r="E684" s="2" t="s">
        <v>856</v>
      </c>
      <c r="F684" s="3">
        <v>43455</v>
      </c>
      <c r="G684" s="2" t="str">
        <f>"9780295744483"</f>
        <v>9780295744483</v>
      </c>
      <c r="H684" s="2" t="s">
        <v>14</v>
      </c>
      <c r="I684" s="4">
        <v>43535.862500000003</v>
      </c>
      <c r="J684" s="2" t="s">
        <v>6156</v>
      </c>
    </row>
    <row r="685" spans="1:10" ht="135" x14ac:dyDescent="0.25">
      <c r="A685" s="2" t="s">
        <v>1855</v>
      </c>
      <c r="B685" s="2">
        <v>910.45</v>
      </c>
      <c r="C685" s="2" t="s">
        <v>7456</v>
      </c>
      <c r="D685" s="2" t="s">
        <v>7455</v>
      </c>
      <c r="E685" s="2" t="s">
        <v>561</v>
      </c>
      <c r="F685" s="3">
        <v>43367</v>
      </c>
      <c r="G685" s="2" t="str">
        <f>"9789088905568"</f>
        <v>9789088905568</v>
      </c>
      <c r="H685" s="2" t="s">
        <v>14</v>
      </c>
      <c r="I685" s="4">
        <v>43415.665972222225</v>
      </c>
      <c r="J685" s="2" t="s">
        <v>7457</v>
      </c>
    </row>
    <row r="686" spans="1:10" ht="135" x14ac:dyDescent="0.25">
      <c r="A686" s="2" t="s">
        <v>1855</v>
      </c>
      <c r="B686" s="2">
        <v>909.7</v>
      </c>
      <c r="D686" s="2" t="s">
        <v>7275</v>
      </c>
      <c r="E686" s="2" t="s">
        <v>28</v>
      </c>
      <c r="F686" s="3">
        <v>43133</v>
      </c>
      <c r="G686" s="2" t="str">
        <f>"9780813940762"</f>
        <v>9780813940762</v>
      </c>
      <c r="H686" s="2" t="s">
        <v>14</v>
      </c>
      <c r="I686" s="4">
        <v>43429.863194444442</v>
      </c>
      <c r="J686" s="2" t="s">
        <v>7276</v>
      </c>
    </row>
    <row r="687" spans="1:10" ht="135" x14ac:dyDescent="0.25">
      <c r="A687" s="2" t="s">
        <v>1855</v>
      </c>
      <c r="B687" s="2">
        <v>910.01</v>
      </c>
      <c r="C687" s="2" t="s">
        <v>5749</v>
      </c>
      <c r="D687" s="2" t="s">
        <v>5748</v>
      </c>
      <c r="E687" s="2" t="s">
        <v>322</v>
      </c>
      <c r="F687" s="3">
        <v>43084</v>
      </c>
      <c r="G687" s="2" t="str">
        <f>"9780820351667"</f>
        <v>9780820351667</v>
      </c>
      <c r="H687" s="2" t="s">
        <v>14</v>
      </c>
      <c r="I687" s="4">
        <v>43575.556944444441</v>
      </c>
      <c r="J687" s="2" t="s">
        <v>5750</v>
      </c>
    </row>
    <row r="688" spans="1:10" ht="135" x14ac:dyDescent="0.25">
      <c r="A688" s="2" t="s">
        <v>141</v>
      </c>
      <c r="B688" s="2">
        <v>901.9</v>
      </c>
      <c r="C688" s="2" t="s">
        <v>8973</v>
      </c>
      <c r="D688" s="2" t="s">
        <v>8972</v>
      </c>
      <c r="E688" s="2" t="s">
        <v>4660</v>
      </c>
      <c r="F688" s="3">
        <v>41827</v>
      </c>
      <c r="G688" s="2" t="str">
        <f>"9780813164779"</f>
        <v>9780813164779</v>
      </c>
      <c r="H688" s="2" t="s">
        <v>14</v>
      </c>
      <c r="I688" s="4">
        <v>43232.409722222219</v>
      </c>
      <c r="J688" s="2" t="s">
        <v>8974</v>
      </c>
    </row>
    <row r="689" spans="1:10" ht="135" x14ac:dyDescent="0.25">
      <c r="A689" s="2" t="s">
        <v>141</v>
      </c>
      <c r="B689" s="2" t="s">
        <v>1317</v>
      </c>
      <c r="C689" s="2" t="s">
        <v>1318</v>
      </c>
      <c r="D689" s="2" t="s">
        <v>1316</v>
      </c>
      <c r="E689" s="2" t="s">
        <v>216</v>
      </c>
      <c r="F689" s="3">
        <v>42917</v>
      </c>
      <c r="G689" s="2" t="str">
        <f>"9781438465388"</f>
        <v>9781438465388</v>
      </c>
      <c r="H689" s="2" t="s">
        <v>14</v>
      </c>
      <c r="I689" s="4">
        <v>43949.50277777778</v>
      </c>
      <c r="J689" s="2" t="s">
        <v>1319</v>
      </c>
    </row>
    <row r="690" spans="1:10" ht="135" x14ac:dyDescent="0.25">
      <c r="A690" s="2" t="s">
        <v>141</v>
      </c>
      <c r="B690" s="2">
        <v>951.25002070000005</v>
      </c>
      <c r="C690" s="2" t="s">
        <v>3917</v>
      </c>
      <c r="D690" s="2" t="s">
        <v>3916</v>
      </c>
      <c r="E690" s="2" t="s">
        <v>221</v>
      </c>
      <c r="F690" s="3">
        <v>41830</v>
      </c>
      <c r="G690" s="2" t="str">
        <f>"9789888313457"</f>
        <v>9789888313457</v>
      </c>
      <c r="H690" s="2" t="s">
        <v>14</v>
      </c>
      <c r="I690" s="4">
        <v>43738.438194444447</v>
      </c>
      <c r="J690" s="2" t="s">
        <v>3918</v>
      </c>
    </row>
    <row r="691" spans="1:10" ht="135" x14ac:dyDescent="0.25">
      <c r="A691" s="2" t="s">
        <v>141</v>
      </c>
      <c r="B691" s="2">
        <v>909.09822069999996</v>
      </c>
      <c r="C691" s="2" t="s">
        <v>20</v>
      </c>
      <c r="D691" s="2" t="s">
        <v>4961</v>
      </c>
      <c r="E691" s="2" t="s">
        <v>37</v>
      </c>
      <c r="F691" s="3">
        <v>42776</v>
      </c>
      <c r="G691" s="2" t="str">
        <f>"9783319440781"</f>
        <v>9783319440781</v>
      </c>
      <c r="H691" s="2" t="s">
        <v>14</v>
      </c>
      <c r="I691" s="4">
        <v>43614.893750000003</v>
      </c>
      <c r="J691" s="2" t="s">
        <v>4962</v>
      </c>
    </row>
    <row r="692" spans="1:10" ht="135" x14ac:dyDescent="0.25">
      <c r="A692" s="2" t="s">
        <v>141</v>
      </c>
      <c r="B692" s="2" t="s">
        <v>142</v>
      </c>
      <c r="C692" s="2" t="s">
        <v>143</v>
      </c>
      <c r="D692" s="2" t="s">
        <v>140</v>
      </c>
      <c r="E692" s="2" t="s">
        <v>58</v>
      </c>
      <c r="F692" s="3">
        <v>43480</v>
      </c>
      <c r="G692" s="2" t="str">
        <f>"9780299319731"</f>
        <v>9780299319731</v>
      </c>
      <c r="H692" s="2" t="s">
        <v>14</v>
      </c>
      <c r="I692" s="4">
        <v>44069.425694444442</v>
      </c>
      <c r="J692" s="2" t="s">
        <v>144</v>
      </c>
    </row>
    <row r="693" spans="1:10" ht="135" x14ac:dyDescent="0.25">
      <c r="A693" s="2" t="s">
        <v>141</v>
      </c>
      <c r="B693" s="2" t="s">
        <v>10030</v>
      </c>
      <c r="C693" s="2" t="s">
        <v>10031</v>
      </c>
      <c r="D693" s="2" t="s">
        <v>10029</v>
      </c>
      <c r="E693" s="2" t="s">
        <v>180</v>
      </c>
      <c r="F693" s="3">
        <v>41985</v>
      </c>
      <c r="G693" s="2" t="str">
        <f>"9781479845811"</f>
        <v>9781479845811</v>
      </c>
      <c r="H693" s="2" t="s">
        <v>14</v>
      </c>
      <c r="I693" s="4">
        <v>43110.474999999999</v>
      </c>
      <c r="J693" s="2" t="s">
        <v>10032</v>
      </c>
    </row>
    <row r="694" spans="1:10" ht="135" x14ac:dyDescent="0.25">
      <c r="A694" s="2" t="s">
        <v>141</v>
      </c>
      <c r="B694" s="2">
        <v>900</v>
      </c>
      <c r="C694" s="2" t="s">
        <v>20</v>
      </c>
      <c r="D694" s="2" t="s">
        <v>8162</v>
      </c>
      <c r="E694" s="2" t="s">
        <v>37</v>
      </c>
      <c r="F694" s="3">
        <v>42788</v>
      </c>
      <c r="G694" s="2" t="str">
        <f>"9783319434315"</f>
        <v>9783319434315</v>
      </c>
      <c r="H694" s="2" t="s">
        <v>14</v>
      </c>
      <c r="I694" s="4">
        <v>43345.754861111112</v>
      </c>
      <c r="J694" s="2" t="s">
        <v>8163</v>
      </c>
    </row>
    <row r="695" spans="1:10" ht="135" x14ac:dyDescent="0.25">
      <c r="A695" s="2" t="s">
        <v>141</v>
      </c>
      <c r="B695" s="2">
        <v>907.21</v>
      </c>
      <c r="C695" s="2" t="s">
        <v>4595</v>
      </c>
      <c r="D695" s="2" t="s">
        <v>4594</v>
      </c>
      <c r="E695" s="2" t="s">
        <v>28</v>
      </c>
      <c r="F695" s="3">
        <v>43537</v>
      </c>
      <c r="G695" s="2" t="str">
        <f>"9780813942704"</f>
        <v>9780813942704</v>
      </c>
      <c r="H695" s="2" t="s">
        <v>14</v>
      </c>
      <c r="I695" s="4">
        <v>43645.90347222222</v>
      </c>
      <c r="J695" s="2" t="s">
        <v>4596</v>
      </c>
    </row>
    <row r="696" spans="1:10" ht="135" x14ac:dyDescent="0.25">
      <c r="A696" s="2" t="s">
        <v>141</v>
      </c>
      <c r="B696" s="2" t="s">
        <v>9294</v>
      </c>
      <c r="C696" s="2" t="s">
        <v>9295</v>
      </c>
      <c r="D696" s="2" t="s">
        <v>9293</v>
      </c>
      <c r="E696" s="2" t="s">
        <v>578</v>
      </c>
      <c r="F696" s="3">
        <v>42319</v>
      </c>
      <c r="G696" s="2" t="str">
        <f>"9780252097997"</f>
        <v>9780252097997</v>
      </c>
      <c r="H696" s="2" t="s">
        <v>14</v>
      </c>
      <c r="I696" s="4">
        <v>43188.402083333334</v>
      </c>
      <c r="J696" s="2" t="s">
        <v>9296</v>
      </c>
    </row>
    <row r="697" spans="1:10" ht="210" x14ac:dyDescent="0.25">
      <c r="A697" s="2" t="s">
        <v>141</v>
      </c>
      <c r="B697" s="2">
        <v>916.7</v>
      </c>
      <c r="C697" s="2" t="s">
        <v>6993</v>
      </c>
      <c r="D697" s="2" t="s">
        <v>6992</v>
      </c>
      <c r="E697" s="2" t="s">
        <v>212</v>
      </c>
      <c r="F697" s="3">
        <v>42878</v>
      </c>
      <c r="G697" s="2" t="str">
        <f>"9789956762828"</f>
        <v>9789956762828</v>
      </c>
      <c r="H697" s="2" t="s">
        <v>14</v>
      </c>
      <c r="I697" s="4">
        <v>43467.835416666669</v>
      </c>
      <c r="J697" s="2" t="s">
        <v>6994</v>
      </c>
    </row>
    <row r="698" spans="1:10" ht="135" x14ac:dyDescent="0.25">
      <c r="A698" s="2" t="s">
        <v>141</v>
      </c>
      <c r="B698" s="2">
        <v>907.2</v>
      </c>
      <c r="C698" s="2" t="s">
        <v>1760</v>
      </c>
      <c r="D698" s="2" t="s">
        <v>1759</v>
      </c>
      <c r="E698" s="2" t="s">
        <v>1558</v>
      </c>
      <c r="F698" s="3">
        <v>42818</v>
      </c>
      <c r="G698" s="2" t="str">
        <f>"9780199335473"</f>
        <v>9780199335473</v>
      </c>
      <c r="H698" s="2" t="s">
        <v>14</v>
      </c>
      <c r="I698" s="4">
        <v>43928.556250000001</v>
      </c>
      <c r="J698" s="2" t="s">
        <v>1761</v>
      </c>
    </row>
    <row r="699" spans="1:10" ht="135" x14ac:dyDescent="0.25">
      <c r="A699" s="2" t="s">
        <v>141</v>
      </c>
      <c r="B699" s="2">
        <v>909.8</v>
      </c>
      <c r="C699" s="2" t="s">
        <v>12596</v>
      </c>
      <c r="D699" s="2" t="s">
        <v>12595</v>
      </c>
      <c r="E699" s="2" t="s">
        <v>73</v>
      </c>
      <c r="F699" s="3">
        <v>41997</v>
      </c>
      <c r="G699" s="2" t="str">
        <f>"9781452943923"</f>
        <v>9781452943923</v>
      </c>
      <c r="H699" s="2" t="s">
        <v>14</v>
      </c>
      <c r="I699" s="4">
        <v>42791.582638888889</v>
      </c>
      <c r="J699" s="2" t="s">
        <v>12597</v>
      </c>
    </row>
    <row r="700" spans="1:10" ht="135" x14ac:dyDescent="0.25">
      <c r="A700" s="2" t="s">
        <v>4822</v>
      </c>
      <c r="B700" s="2">
        <v>70.180000000000007</v>
      </c>
      <c r="C700" s="2" t="s">
        <v>4823</v>
      </c>
      <c r="D700" s="2" t="s">
        <v>4821</v>
      </c>
      <c r="E700" s="2" t="s">
        <v>69</v>
      </c>
      <c r="F700" s="3">
        <v>43514</v>
      </c>
      <c r="G700" s="2" t="str">
        <f>"9780253040312"</f>
        <v>9780253040312</v>
      </c>
      <c r="H700" s="2" t="s">
        <v>14</v>
      </c>
      <c r="I700" s="4">
        <v>43623.823611111111</v>
      </c>
      <c r="J700" s="2" t="s">
        <v>4824</v>
      </c>
    </row>
    <row r="701" spans="1:10" ht="135" x14ac:dyDescent="0.25">
      <c r="A701" s="2" t="s">
        <v>7329</v>
      </c>
      <c r="B701" s="2">
        <v>909.04960000000005</v>
      </c>
      <c r="C701" s="2" t="s">
        <v>7330</v>
      </c>
      <c r="D701" s="2" t="s">
        <v>7328</v>
      </c>
      <c r="E701" s="2" t="s">
        <v>216</v>
      </c>
      <c r="F701" s="3">
        <v>41821</v>
      </c>
      <c r="G701" s="2" t="str">
        <f>"9781438452265"</f>
        <v>9781438452265</v>
      </c>
      <c r="H701" s="2" t="s">
        <v>14</v>
      </c>
      <c r="I701" s="4">
        <v>43424.915972222225</v>
      </c>
      <c r="J701" s="2" t="s">
        <v>7331</v>
      </c>
    </row>
    <row r="702" spans="1:10" ht="135" x14ac:dyDescent="0.25">
      <c r="A702" s="2" t="s">
        <v>969</v>
      </c>
      <c r="B702" s="2">
        <v>526.09559999999999</v>
      </c>
      <c r="C702" s="2" t="s">
        <v>970</v>
      </c>
      <c r="D702" s="2" t="s">
        <v>968</v>
      </c>
      <c r="E702" s="2" t="s">
        <v>466</v>
      </c>
      <c r="F702" s="3">
        <v>43235</v>
      </c>
      <c r="G702" s="2" t="str">
        <f>"9781780239545"</f>
        <v>9781780239545</v>
      </c>
      <c r="H702" s="2" t="s">
        <v>14</v>
      </c>
      <c r="I702" s="4">
        <v>43971.479861111111</v>
      </c>
      <c r="J702" s="2" t="s">
        <v>971</v>
      </c>
    </row>
    <row r="703" spans="1:10" ht="135" x14ac:dyDescent="0.25">
      <c r="A703" s="2" t="s">
        <v>8106</v>
      </c>
      <c r="B703" s="2" t="s">
        <v>8107</v>
      </c>
      <c r="C703" s="2" t="s">
        <v>8108</v>
      </c>
      <c r="D703" s="2" t="s">
        <v>8105</v>
      </c>
      <c r="E703" s="2" t="s">
        <v>460</v>
      </c>
      <c r="F703" s="3">
        <v>43081</v>
      </c>
      <c r="G703" s="2" t="str">
        <f>"9780773552562"</f>
        <v>9780773552562</v>
      </c>
      <c r="H703" s="2" t="s">
        <v>14</v>
      </c>
      <c r="I703" s="4">
        <v>43351.763888888891</v>
      </c>
      <c r="J703" s="2" t="s">
        <v>8109</v>
      </c>
    </row>
    <row r="704" spans="1:10" ht="135" x14ac:dyDescent="0.25">
      <c r="A704" s="2" t="s">
        <v>7337</v>
      </c>
      <c r="B704" s="2">
        <v>526</v>
      </c>
      <c r="C704" s="2" t="s">
        <v>7338</v>
      </c>
      <c r="D704" s="2" t="s">
        <v>7336</v>
      </c>
      <c r="E704" s="2" t="s">
        <v>585</v>
      </c>
      <c r="F704" s="3">
        <v>42902</v>
      </c>
      <c r="G704" s="2" t="str">
        <f>"9780226422817"</f>
        <v>9780226422817</v>
      </c>
      <c r="H704" s="2" t="s">
        <v>14</v>
      </c>
      <c r="I704" s="4">
        <v>43424.835416666669</v>
      </c>
      <c r="J704" s="2" t="s">
        <v>7339</v>
      </c>
    </row>
    <row r="705" spans="1:10" ht="135" x14ac:dyDescent="0.25">
      <c r="A705" s="2" t="s">
        <v>1783</v>
      </c>
      <c r="B705" s="2">
        <v>909.04</v>
      </c>
      <c r="C705" s="2" t="s">
        <v>7688</v>
      </c>
      <c r="D705" s="2" t="s">
        <v>7687</v>
      </c>
      <c r="E705" s="2" t="s">
        <v>216</v>
      </c>
      <c r="F705" s="3">
        <v>43221</v>
      </c>
      <c r="G705" s="2" t="str">
        <f>"9781438469416"</f>
        <v>9781438469416</v>
      </c>
      <c r="H705" s="2" t="s">
        <v>14</v>
      </c>
      <c r="I705" s="4">
        <v>43399.875</v>
      </c>
      <c r="J705" s="2" t="s">
        <v>7689</v>
      </c>
    </row>
    <row r="706" spans="1:10" ht="135" x14ac:dyDescent="0.25">
      <c r="A706" s="2" t="s">
        <v>1783</v>
      </c>
      <c r="B706" s="2">
        <v>301</v>
      </c>
      <c r="C706" s="2" t="s">
        <v>6284</v>
      </c>
      <c r="D706" s="2" t="s">
        <v>6283</v>
      </c>
      <c r="E706" s="2" t="s">
        <v>73</v>
      </c>
      <c r="F706" s="3">
        <v>43522</v>
      </c>
      <c r="G706" s="2" t="str">
        <f>"9781452960111"</f>
        <v>9781452960111</v>
      </c>
      <c r="H706" s="2" t="s">
        <v>14</v>
      </c>
      <c r="I706" s="4">
        <v>43527.477083333331</v>
      </c>
      <c r="J706" s="2" t="s">
        <v>6285</v>
      </c>
    </row>
    <row r="707" spans="1:10" ht="135" x14ac:dyDescent="0.25">
      <c r="A707" s="2" t="s">
        <v>1783</v>
      </c>
      <c r="B707" s="2">
        <v>307.76</v>
      </c>
      <c r="C707" s="2" t="s">
        <v>1784</v>
      </c>
      <c r="D707" s="2" t="s">
        <v>1782</v>
      </c>
      <c r="E707" s="2" t="s">
        <v>37</v>
      </c>
      <c r="F707" s="3">
        <v>42535</v>
      </c>
      <c r="G707" s="2" t="str">
        <f>"9783319319971"</f>
        <v>9783319319971</v>
      </c>
      <c r="H707" s="2" t="s">
        <v>14</v>
      </c>
      <c r="I707" s="4">
        <v>43927.78125</v>
      </c>
      <c r="J707" s="2" t="s">
        <v>1785</v>
      </c>
    </row>
    <row r="708" spans="1:10" ht="135" x14ac:dyDescent="0.25">
      <c r="A708" s="2" t="s">
        <v>2656</v>
      </c>
      <c r="B708" s="2" t="s">
        <v>2657</v>
      </c>
      <c r="C708" s="2" t="s">
        <v>2658</v>
      </c>
      <c r="D708" s="2" t="s">
        <v>2655</v>
      </c>
      <c r="E708" s="2" t="s">
        <v>578</v>
      </c>
      <c r="F708" s="3">
        <v>43024</v>
      </c>
      <c r="G708" s="2" t="str">
        <f>"9780252099953"</f>
        <v>9780252099953</v>
      </c>
      <c r="H708" s="2" t="s">
        <v>14</v>
      </c>
      <c r="I708" s="4">
        <v>43868.602083333331</v>
      </c>
      <c r="J708" s="2" t="s">
        <v>2659</v>
      </c>
    </row>
    <row r="709" spans="1:10" ht="150" x14ac:dyDescent="0.25">
      <c r="A709" s="2" t="s">
        <v>2656</v>
      </c>
      <c r="B709" s="2">
        <v>305.80097949399999</v>
      </c>
      <c r="C709" s="2" t="s">
        <v>3553</v>
      </c>
      <c r="D709" s="2" t="s">
        <v>3552</v>
      </c>
      <c r="E709" s="2" t="s">
        <v>54</v>
      </c>
      <c r="F709" s="3">
        <v>43669</v>
      </c>
      <c r="G709" s="2" t="str">
        <f>"9781503609563"</f>
        <v>9781503609563</v>
      </c>
      <c r="H709" s="2" t="s">
        <v>14</v>
      </c>
      <c r="I709" s="4">
        <v>43775.68472222222</v>
      </c>
      <c r="J709" s="2" t="s">
        <v>3554</v>
      </c>
    </row>
    <row r="710" spans="1:10" ht="135" x14ac:dyDescent="0.25">
      <c r="A710" s="2" t="s">
        <v>3956</v>
      </c>
      <c r="B710" s="2">
        <v>613.20000000000005</v>
      </c>
      <c r="C710" s="2" t="s">
        <v>3957</v>
      </c>
      <c r="D710" s="2" t="s">
        <v>3955</v>
      </c>
      <c r="E710" s="2" t="s">
        <v>856</v>
      </c>
      <c r="F710" s="3">
        <v>43525</v>
      </c>
      <c r="G710" s="2" t="str">
        <f>"9780295744971"</f>
        <v>9780295744971</v>
      </c>
      <c r="H710" s="2" t="s">
        <v>14</v>
      </c>
      <c r="I710" s="4">
        <v>43734.928472222222</v>
      </c>
      <c r="J710" s="2" t="s">
        <v>3958</v>
      </c>
    </row>
    <row r="711" spans="1:10" ht="135" x14ac:dyDescent="0.25">
      <c r="A711" s="2" t="s">
        <v>8728</v>
      </c>
      <c r="B711" s="2" t="s">
        <v>8729</v>
      </c>
      <c r="C711" s="2" t="s">
        <v>8730</v>
      </c>
      <c r="D711" s="2" t="s">
        <v>8727</v>
      </c>
      <c r="E711" s="2" t="s">
        <v>397</v>
      </c>
      <c r="F711" s="3">
        <v>42763</v>
      </c>
      <c r="G711" s="2" t="str">
        <f>"9780822981619"</f>
        <v>9780822981619</v>
      </c>
      <c r="H711" s="2" t="s">
        <v>14</v>
      </c>
      <c r="I711" s="4">
        <v>43260.51458333333</v>
      </c>
      <c r="J711" s="2" t="s">
        <v>8731</v>
      </c>
    </row>
    <row r="712" spans="1:10" ht="135" x14ac:dyDescent="0.25">
      <c r="A712" s="2" t="s">
        <v>3693</v>
      </c>
      <c r="D712" s="2" t="s">
        <v>3692</v>
      </c>
      <c r="E712" s="2" t="s">
        <v>46</v>
      </c>
      <c r="F712" s="3">
        <v>43466</v>
      </c>
      <c r="G712" s="2" t="str">
        <f>"9781496212658"</f>
        <v>9781496212658</v>
      </c>
      <c r="H712" s="2" t="s">
        <v>14</v>
      </c>
      <c r="I712" s="4">
        <v>43765.943749999999</v>
      </c>
      <c r="J712" s="2" t="s">
        <v>3694</v>
      </c>
    </row>
    <row r="713" spans="1:10" ht="135" x14ac:dyDescent="0.25">
      <c r="A713" s="2" t="s">
        <v>5261</v>
      </c>
      <c r="B713" s="2">
        <v>979.4</v>
      </c>
      <c r="C713" s="2" t="s">
        <v>5262</v>
      </c>
      <c r="D713" s="2" t="s">
        <v>5260</v>
      </c>
      <c r="E713" s="2" t="s">
        <v>578</v>
      </c>
      <c r="F713" s="3">
        <v>42359</v>
      </c>
      <c r="G713" s="2" t="str">
        <f>"9780252097959"</f>
        <v>9780252097959</v>
      </c>
      <c r="H713" s="2" t="s">
        <v>14</v>
      </c>
      <c r="I713" s="4">
        <v>43606.600694444445</v>
      </c>
      <c r="J713" s="2" t="s">
        <v>5263</v>
      </c>
    </row>
    <row r="714" spans="1:10" ht="135" x14ac:dyDescent="0.25">
      <c r="A714" s="2" t="s">
        <v>9705</v>
      </c>
      <c r="B714" s="2">
        <v>362.19888097299997</v>
      </c>
      <c r="C714" s="2" t="s">
        <v>9706</v>
      </c>
      <c r="D714" s="2" t="s">
        <v>9704</v>
      </c>
      <c r="E714" s="2" t="s">
        <v>3606</v>
      </c>
      <c r="F714" s="3">
        <v>42478</v>
      </c>
      <c r="G714" s="2" t="str">
        <f>"9781608466641"</f>
        <v>9781608466641</v>
      </c>
      <c r="H714" s="2" t="s">
        <v>14</v>
      </c>
      <c r="I714" s="4">
        <v>43135.941666666666</v>
      </c>
      <c r="J714" s="2" t="s">
        <v>9707</v>
      </c>
    </row>
    <row r="715" spans="1:10" ht="135" x14ac:dyDescent="0.25">
      <c r="A715" s="2" t="s">
        <v>2707</v>
      </c>
      <c r="B715" s="2">
        <v>613.19200999999998</v>
      </c>
      <c r="C715" s="2" t="s">
        <v>2708</v>
      </c>
      <c r="D715" s="2" t="s">
        <v>2706</v>
      </c>
      <c r="E715" s="2" t="s">
        <v>216</v>
      </c>
      <c r="F715" s="3">
        <v>43191</v>
      </c>
      <c r="G715" s="2" t="str">
        <f>"9781438469751"</f>
        <v>9781438469751</v>
      </c>
      <c r="H715" s="2" t="s">
        <v>14</v>
      </c>
      <c r="I715" s="4">
        <v>43863.446527777778</v>
      </c>
      <c r="J715" s="2" t="s">
        <v>2709</v>
      </c>
    </row>
    <row r="716" spans="1:10" ht="135" x14ac:dyDescent="0.25">
      <c r="A716" s="2" t="s">
        <v>794</v>
      </c>
      <c r="B716" s="2" t="s">
        <v>6961</v>
      </c>
      <c r="C716" s="2" t="s">
        <v>6962</v>
      </c>
      <c r="D716" s="2" t="s">
        <v>6960</v>
      </c>
      <c r="E716" s="2" t="s">
        <v>156</v>
      </c>
      <c r="F716" s="3">
        <v>42310</v>
      </c>
      <c r="G716" s="2" t="str">
        <f>"9781469623344"</f>
        <v>9781469623344</v>
      </c>
      <c r="H716" s="2" t="s">
        <v>14</v>
      </c>
      <c r="I716" s="4">
        <v>43472.658333333333</v>
      </c>
      <c r="J716" s="2" t="s">
        <v>6963</v>
      </c>
    </row>
    <row r="717" spans="1:10" ht="135" x14ac:dyDescent="0.25">
      <c r="A717" s="2" t="s">
        <v>794</v>
      </c>
      <c r="B717" s="2">
        <v>362.28095189999999</v>
      </c>
      <c r="C717" s="2" t="s">
        <v>4258</v>
      </c>
      <c r="D717" s="2" t="s">
        <v>4257</v>
      </c>
      <c r="E717" s="2" t="s">
        <v>856</v>
      </c>
      <c r="F717" s="3">
        <v>43497</v>
      </c>
      <c r="G717" s="2" t="str">
        <f>"9780295746333"</f>
        <v>9780295746333</v>
      </c>
      <c r="H717" s="2" t="s">
        <v>14</v>
      </c>
      <c r="I717" s="4">
        <v>43689.45</v>
      </c>
      <c r="J717" s="2" t="s">
        <v>4259</v>
      </c>
    </row>
    <row r="718" spans="1:10" ht="135" x14ac:dyDescent="0.25">
      <c r="A718" s="2" t="s">
        <v>794</v>
      </c>
      <c r="B718" s="2" t="s">
        <v>10334</v>
      </c>
      <c r="C718" s="2" t="s">
        <v>10335</v>
      </c>
      <c r="D718" s="2" t="s">
        <v>10333</v>
      </c>
      <c r="E718" s="2" t="s">
        <v>69</v>
      </c>
      <c r="F718" s="3">
        <v>38645</v>
      </c>
      <c r="G718" s="2" t="str">
        <f>"9780253111494"</f>
        <v>9780253111494</v>
      </c>
      <c r="H718" s="2" t="s">
        <v>14</v>
      </c>
      <c r="I718" s="4">
        <v>43067.412499999999</v>
      </c>
      <c r="J718" s="2" t="s">
        <v>10336</v>
      </c>
    </row>
    <row r="719" spans="1:10" ht="135" x14ac:dyDescent="0.25">
      <c r="A719" s="2" t="s">
        <v>794</v>
      </c>
      <c r="B719" s="2">
        <v>362.10971999999998</v>
      </c>
      <c r="C719" s="2" t="s">
        <v>853</v>
      </c>
      <c r="D719" s="2" t="s">
        <v>852</v>
      </c>
      <c r="E719" s="2" t="s">
        <v>54</v>
      </c>
      <c r="F719" s="3">
        <v>43340</v>
      </c>
      <c r="G719" s="2" t="str">
        <f>"9781503605800"</f>
        <v>9781503605800</v>
      </c>
      <c r="H719" s="2" t="s">
        <v>14</v>
      </c>
      <c r="I719" s="4">
        <v>43979.888194444444</v>
      </c>
      <c r="J719" s="2" t="s">
        <v>854</v>
      </c>
    </row>
    <row r="720" spans="1:10" ht="135" x14ac:dyDescent="0.25">
      <c r="A720" s="2" t="s">
        <v>794</v>
      </c>
      <c r="B720" s="2" t="s">
        <v>6483</v>
      </c>
      <c r="C720" s="2" t="s">
        <v>6484</v>
      </c>
      <c r="D720" s="2" t="s">
        <v>6482</v>
      </c>
      <c r="E720" s="2" t="s">
        <v>221</v>
      </c>
      <c r="F720" s="3">
        <v>43061</v>
      </c>
      <c r="G720" s="2" t="str">
        <f>"9789888455096"</f>
        <v>9789888455096</v>
      </c>
      <c r="H720" s="2" t="s">
        <v>14</v>
      </c>
      <c r="I720" s="4">
        <v>43514.762499999997</v>
      </c>
      <c r="J720" s="2" t="s">
        <v>6485</v>
      </c>
    </row>
    <row r="721" spans="1:10" ht="135" x14ac:dyDescent="0.25">
      <c r="A721" s="2" t="s">
        <v>794</v>
      </c>
      <c r="B721" s="2">
        <v>362.19684980097298</v>
      </c>
      <c r="C721" s="2" t="s">
        <v>795</v>
      </c>
      <c r="D721" s="2" t="s">
        <v>793</v>
      </c>
      <c r="E721" s="2" t="s">
        <v>73</v>
      </c>
      <c r="F721" s="3">
        <v>41162</v>
      </c>
      <c r="G721" s="2" t="str">
        <f>"9780816682737"</f>
        <v>9780816682737</v>
      </c>
      <c r="H721" s="2" t="s">
        <v>14</v>
      </c>
      <c r="I721" s="4">
        <v>43986.527083333334</v>
      </c>
      <c r="J721" s="2" t="s">
        <v>796</v>
      </c>
    </row>
    <row r="722" spans="1:10" ht="135" x14ac:dyDescent="0.25">
      <c r="A722" s="2" t="s">
        <v>794</v>
      </c>
      <c r="B722" s="2">
        <v>362.10899607300001</v>
      </c>
      <c r="C722" s="2" t="s">
        <v>8500</v>
      </c>
      <c r="D722" s="2" t="s">
        <v>8499</v>
      </c>
      <c r="E722" s="2" t="s">
        <v>73</v>
      </c>
      <c r="F722" s="3">
        <v>42931</v>
      </c>
      <c r="G722" s="2" t="str">
        <f>"9781452915685"</f>
        <v>9781452915685</v>
      </c>
      <c r="H722" s="2" t="s">
        <v>14</v>
      </c>
      <c r="I722" s="4">
        <v>43300.481944444444</v>
      </c>
      <c r="J722" s="2" t="s">
        <v>8501</v>
      </c>
    </row>
    <row r="723" spans="1:10" ht="135" x14ac:dyDescent="0.25">
      <c r="A723" s="2" t="s">
        <v>794</v>
      </c>
      <c r="B723" s="2" t="s">
        <v>5222</v>
      </c>
      <c r="C723" s="2" t="s">
        <v>5223</v>
      </c>
      <c r="D723" s="2" t="s">
        <v>5221</v>
      </c>
      <c r="E723" s="2" t="s">
        <v>156</v>
      </c>
      <c r="F723" s="3">
        <v>43598</v>
      </c>
      <c r="G723" s="2" t="str">
        <f>"9781469651668"</f>
        <v>9781469651668</v>
      </c>
      <c r="H723" s="2" t="s">
        <v>14</v>
      </c>
      <c r="I723" s="4">
        <v>43607.762499999997</v>
      </c>
      <c r="J723" s="2" t="s">
        <v>5224</v>
      </c>
    </row>
    <row r="724" spans="1:10" ht="135" x14ac:dyDescent="0.25">
      <c r="A724" s="2" t="s">
        <v>5527</v>
      </c>
      <c r="B724" s="2">
        <v>362.209045</v>
      </c>
      <c r="C724" s="2" t="s">
        <v>20</v>
      </c>
      <c r="D724" s="2" t="s">
        <v>5526</v>
      </c>
      <c r="E724" s="2" t="s">
        <v>37</v>
      </c>
      <c r="F724" s="3">
        <v>42720</v>
      </c>
      <c r="G724" s="2" t="str">
        <f>"9783319453606"</f>
        <v>9783319453606</v>
      </c>
      <c r="H724" s="2" t="s">
        <v>14</v>
      </c>
      <c r="I724" s="4">
        <v>43592.548611111109</v>
      </c>
      <c r="J724" s="2" t="s">
        <v>5528</v>
      </c>
    </row>
    <row r="725" spans="1:10" ht="150" x14ac:dyDescent="0.25">
      <c r="A725" s="2" t="s">
        <v>2561</v>
      </c>
      <c r="B725" s="2">
        <v>614.4</v>
      </c>
      <c r="C725" s="2" t="s">
        <v>2562</v>
      </c>
      <c r="D725" s="2" t="s">
        <v>2559</v>
      </c>
      <c r="E725" s="2" t="s">
        <v>2560</v>
      </c>
      <c r="F725" s="3">
        <v>42227</v>
      </c>
      <c r="G725" s="2" t="str">
        <f>"9780826520289"</f>
        <v>9780826520289</v>
      </c>
      <c r="H725" s="2" t="s">
        <v>14</v>
      </c>
      <c r="I725" s="4">
        <v>43876.669444444444</v>
      </c>
      <c r="J725" s="2" t="s">
        <v>2563</v>
      </c>
    </row>
    <row r="726" spans="1:10" ht="135" x14ac:dyDescent="0.25">
      <c r="A726" s="2" t="s">
        <v>7210</v>
      </c>
      <c r="B726" s="2" t="s">
        <v>7211</v>
      </c>
      <c r="C726" s="2" t="s">
        <v>7212</v>
      </c>
      <c r="D726" s="2" t="s">
        <v>7209</v>
      </c>
      <c r="E726" s="2" t="s">
        <v>156</v>
      </c>
      <c r="F726" s="3">
        <v>42772</v>
      </c>
      <c r="G726" s="2" t="str">
        <f>"9781469631042"</f>
        <v>9781469631042</v>
      </c>
      <c r="H726" s="2" t="s">
        <v>14</v>
      </c>
      <c r="I726" s="4">
        <v>43434.018055555556</v>
      </c>
      <c r="J726" s="2" t="s">
        <v>7213</v>
      </c>
    </row>
    <row r="727" spans="1:10" ht="135" x14ac:dyDescent="0.25">
      <c r="A727" s="2" t="s">
        <v>11768</v>
      </c>
      <c r="B727" s="2">
        <v>362.19840086912001</v>
      </c>
      <c r="C727" s="2" t="s">
        <v>11769</v>
      </c>
      <c r="D727" s="2" t="s">
        <v>11767</v>
      </c>
      <c r="E727" s="2" t="s">
        <v>89</v>
      </c>
      <c r="F727" s="3">
        <v>41944</v>
      </c>
      <c r="G727" s="2" t="str">
        <f>"9781782385455"</f>
        <v>9781782385455</v>
      </c>
      <c r="H727" s="2" t="s">
        <v>14</v>
      </c>
      <c r="I727" s="4">
        <v>42895.581250000003</v>
      </c>
      <c r="J727" s="2" t="s">
        <v>11770</v>
      </c>
    </row>
    <row r="728" spans="1:10" ht="135" x14ac:dyDescent="0.25">
      <c r="A728" s="2" t="s">
        <v>51</v>
      </c>
      <c r="B728" s="2">
        <v>974.01</v>
      </c>
      <c r="C728" s="2" t="s">
        <v>8669</v>
      </c>
      <c r="D728" s="2" t="s">
        <v>8668</v>
      </c>
      <c r="E728" s="2" t="s">
        <v>33</v>
      </c>
      <c r="F728" s="3">
        <v>41852</v>
      </c>
      <c r="G728" s="2" t="str">
        <f>"9781613763056"</f>
        <v>9781613763056</v>
      </c>
      <c r="H728" s="2" t="s">
        <v>14</v>
      </c>
      <c r="I728" s="4">
        <v>43271.506944444445</v>
      </c>
      <c r="J728" s="2" t="s">
        <v>8670</v>
      </c>
    </row>
    <row r="729" spans="1:10" ht="135" x14ac:dyDescent="0.25">
      <c r="A729" s="2" t="s">
        <v>51</v>
      </c>
      <c r="B729" s="2">
        <v>973.91700000000003</v>
      </c>
      <c r="C729" s="2" t="s">
        <v>2579</v>
      </c>
      <c r="D729" s="2" t="s">
        <v>2577</v>
      </c>
      <c r="E729" s="2" t="s">
        <v>2578</v>
      </c>
      <c r="F729" s="3">
        <v>41429</v>
      </c>
      <c r="G729" s="2" t="str">
        <f>"9780300195132"</f>
        <v>9780300195132</v>
      </c>
      <c r="H729" s="2" t="s">
        <v>14</v>
      </c>
      <c r="I729" s="4">
        <v>43875.492361111108</v>
      </c>
      <c r="J729" s="2" t="s">
        <v>2580</v>
      </c>
    </row>
    <row r="730" spans="1:10" ht="135" x14ac:dyDescent="0.25">
      <c r="A730" s="2" t="s">
        <v>51</v>
      </c>
      <c r="D730" s="2" t="s">
        <v>430</v>
      </c>
      <c r="E730" s="2" t="s">
        <v>54</v>
      </c>
      <c r="F730" s="3">
        <v>44012</v>
      </c>
      <c r="G730" s="2" t="str">
        <f>"9781503611146"</f>
        <v>9781503611146</v>
      </c>
      <c r="H730" s="2" t="s">
        <v>14</v>
      </c>
      <c r="I730" s="4">
        <v>44024.731249999997</v>
      </c>
      <c r="J730" s="2" t="s">
        <v>431</v>
      </c>
    </row>
    <row r="731" spans="1:10" ht="150" x14ac:dyDescent="0.25">
      <c r="A731" s="2" t="s">
        <v>51</v>
      </c>
      <c r="B731" s="2">
        <v>974.43</v>
      </c>
      <c r="C731" s="2" t="s">
        <v>250</v>
      </c>
      <c r="D731" s="2" t="s">
        <v>249</v>
      </c>
      <c r="E731" s="2" t="s">
        <v>156</v>
      </c>
      <c r="F731" s="3">
        <v>41715</v>
      </c>
      <c r="G731" s="2" t="str">
        <f>"9781469615509"</f>
        <v>9781469615509</v>
      </c>
      <c r="H731" s="2" t="s">
        <v>14</v>
      </c>
      <c r="I731" s="4">
        <v>44049.852083333331</v>
      </c>
      <c r="J731" s="2" t="s">
        <v>251</v>
      </c>
    </row>
    <row r="732" spans="1:10" ht="135" x14ac:dyDescent="0.25">
      <c r="A732" s="2" t="s">
        <v>51</v>
      </c>
      <c r="B732" s="2">
        <v>973.93109200000004</v>
      </c>
      <c r="C732" s="2" t="s">
        <v>10253</v>
      </c>
      <c r="D732" s="2" t="s">
        <v>10252</v>
      </c>
      <c r="E732" s="2" t="s">
        <v>80</v>
      </c>
      <c r="F732" s="3">
        <v>42216</v>
      </c>
      <c r="G732" s="2" t="str">
        <f>"9783653057263"</f>
        <v>9783653057263</v>
      </c>
      <c r="H732" s="2" t="s">
        <v>14</v>
      </c>
      <c r="I732" s="4">
        <v>43075.97152777778</v>
      </c>
      <c r="J732" s="2" t="s">
        <v>10254</v>
      </c>
    </row>
    <row r="733" spans="1:10" ht="135" x14ac:dyDescent="0.25">
      <c r="A733" s="2" t="s">
        <v>51</v>
      </c>
      <c r="B733" s="2" t="s">
        <v>4614</v>
      </c>
      <c r="C733" s="2" t="s">
        <v>4615</v>
      </c>
      <c r="D733" s="2" t="s">
        <v>4613</v>
      </c>
      <c r="E733" s="2" t="s">
        <v>41</v>
      </c>
      <c r="F733" s="3">
        <v>43564</v>
      </c>
      <c r="G733" s="2" t="str">
        <f>"9780817392123"</f>
        <v>9780817392123</v>
      </c>
      <c r="H733" s="2" t="s">
        <v>14</v>
      </c>
      <c r="I733" s="4">
        <v>43644.750694444447</v>
      </c>
      <c r="J733" s="2" t="s">
        <v>4616</v>
      </c>
    </row>
    <row r="734" spans="1:10" ht="195" x14ac:dyDescent="0.25">
      <c r="A734" s="2" t="s">
        <v>51</v>
      </c>
      <c r="B734" s="2" t="s">
        <v>7049</v>
      </c>
      <c r="C734" s="2" t="s">
        <v>7050</v>
      </c>
      <c r="D734" s="2" t="s">
        <v>7048</v>
      </c>
      <c r="E734" s="2" t="s">
        <v>69</v>
      </c>
      <c r="F734" s="3">
        <v>43027</v>
      </c>
      <c r="G734" s="2" t="str">
        <f>"9780253031259"</f>
        <v>9780253031259</v>
      </c>
      <c r="H734" s="2" t="s">
        <v>14</v>
      </c>
      <c r="I734" s="4">
        <v>43454.709027777775</v>
      </c>
      <c r="J734" s="2" t="s">
        <v>7051</v>
      </c>
    </row>
    <row r="735" spans="1:10" ht="135" x14ac:dyDescent="0.25">
      <c r="A735" s="2" t="s">
        <v>51</v>
      </c>
      <c r="B735" s="2">
        <v>940.08500000000004</v>
      </c>
      <c r="C735" s="2" t="s">
        <v>10147</v>
      </c>
      <c r="D735" s="2" t="s">
        <v>10146</v>
      </c>
      <c r="E735" s="2" t="s">
        <v>69</v>
      </c>
      <c r="F735" s="3">
        <v>42965</v>
      </c>
      <c r="G735" s="2" t="str">
        <f>"9780253030184"</f>
        <v>9780253030184</v>
      </c>
      <c r="H735" s="2" t="s">
        <v>14</v>
      </c>
      <c r="I735" s="4">
        <v>43091.714583333334</v>
      </c>
      <c r="J735" s="2" t="s">
        <v>10148</v>
      </c>
    </row>
    <row r="736" spans="1:10" ht="135" x14ac:dyDescent="0.25">
      <c r="A736" s="2" t="s">
        <v>51</v>
      </c>
      <c r="C736" s="2" t="s">
        <v>5524</v>
      </c>
      <c r="D736" s="2" t="s">
        <v>5523</v>
      </c>
      <c r="E736" s="2" t="s">
        <v>69</v>
      </c>
      <c r="F736" s="3">
        <v>43125</v>
      </c>
      <c r="G736" s="2" t="str">
        <f>"9780253029294"</f>
        <v>9780253029294</v>
      </c>
      <c r="H736" s="2" t="s">
        <v>14</v>
      </c>
      <c r="I736" s="4">
        <v>43592.617361111108</v>
      </c>
      <c r="J736" s="2" t="s">
        <v>5525</v>
      </c>
    </row>
    <row r="737" spans="1:10" ht="135" x14ac:dyDescent="0.25">
      <c r="A737" s="2" t="s">
        <v>51</v>
      </c>
      <c r="B737" s="2" t="s">
        <v>11237</v>
      </c>
      <c r="C737" s="2" t="s">
        <v>11238</v>
      </c>
      <c r="D737" s="2" t="s">
        <v>11236</v>
      </c>
      <c r="E737" s="2" t="s">
        <v>4660</v>
      </c>
      <c r="F737" s="3">
        <v>42115</v>
      </c>
      <c r="G737" s="2" t="str">
        <f>"9780813160573"</f>
        <v>9780813160573</v>
      </c>
      <c r="H737" s="2" t="s">
        <v>14</v>
      </c>
      <c r="I737" s="4">
        <v>43001.746527777781</v>
      </c>
      <c r="J737" s="2" t="s">
        <v>11239</v>
      </c>
    </row>
    <row r="738" spans="1:10" ht="135" x14ac:dyDescent="0.25">
      <c r="A738" s="2" t="s">
        <v>51</v>
      </c>
      <c r="B738" s="2">
        <v>967.8</v>
      </c>
      <c r="C738" s="2" t="s">
        <v>2309</v>
      </c>
      <c r="D738" s="2" t="s">
        <v>2308</v>
      </c>
      <c r="E738" s="2" t="s">
        <v>1072</v>
      </c>
      <c r="F738" s="3">
        <v>42917</v>
      </c>
      <c r="G738" s="2" t="str">
        <f>"9789987083862"</f>
        <v>9789987083862</v>
      </c>
      <c r="H738" s="2" t="s">
        <v>14</v>
      </c>
      <c r="I738" s="4">
        <v>43894.555555555555</v>
      </c>
      <c r="J738" s="2" t="s">
        <v>2310</v>
      </c>
    </row>
    <row r="739" spans="1:10" ht="180" x14ac:dyDescent="0.25">
      <c r="A739" s="2" t="s">
        <v>51</v>
      </c>
      <c r="B739" s="2">
        <v>973.30921999999998</v>
      </c>
      <c r="C739" s="2" t="s">
        <v>7109</v>
      </c>
      <c r="D739" s="2" t="s">
        <v>7107</v>
      </c>
      <c r="E739" s="2" t="s">
        <v>7108</v>
      </c>
      <c r="F739" s="3">
        <v>40687</v>
      </c>
      <c r="G739" s="2" t="str">
        <f>"9781620972809"</f>
        <v>9781620972809</v>
      </c>
      <c r="H739" s="2" t="s">
        <v>14</v>
      </c>
      <c r="I739" s="4">
        <v>43446.832638888889</v>
      </c>
      <c r="J739" s="2" t="s">
        <v>7110</v>
      </c>
    </row>
    <row r="740" spans="1:10" ht="135" x14ac:dyDescent="0.25">
      <c r="A740" s="2" t="s">
        <v>51</v>
      </c>
      <c r="B740" s="2" t="s">
        <v>4758</v>
      </c>
      <c r="C740" s="2" t="s">
        <v>4759</v>
      </c>
      <c r="D740" s="2" t="s">
        <v>4757</v>
      </c>
      <c r="E740" s="2" t="s">
        <v>370</v>
      </c>
      <c r="F740" s="3">
        <v>42064</v>
      </c>
      <c r="G740" s="2" t="str">
        <f>"9781628370843"</f>
        <v>9781628370843</v>
      </c>
      <c r="H740" s="2" t="s">
        <v>14</v>
      </c>
      <c r="I740" s="4">
        <v>43630.595138888886</v>
      </c>
      <c r="J740" s="2" t="s">
        <v>4760</v>
      </c>
    </row>
    <row r="741" spans="1:10" ht="165" x14ac:dyDescent="0.25">
      <c r="A741" s="2" t="s">
        <v>51</v>
      </c>
      <c r="B741" s="2">
        <v>973.64</v>
      </c>
      <c r="C741" s="2" t="s">
        <v>5951</v>
      </c>
      <c r="D741" s="2" t="s">
        <v>5950</v>
      </c>
      <c r="E741" s="2" t="s">
        <v>28</v>
      </c>
      <c r="F741" s="3">
        <v>43272</v>
      </c>
      <c r="G741" s="2" t="str">
        <f>"9780813941202"</f>
        <v>9780813941202</v>
      </c>
      <c r="H741" s="2" t="s">
        <v>14</v>
      </c>
      <c r="I741" s="4">
        <v>43553.535416666666</v>
      </c>
      <c r="J741" s="2" t="s">
        <v>5952</v>
      </c>
    </row>
    <row r="742" spans="1:10" ht="180" x14ac:dyDescent="0.25">
      <c r="A742" s="2" t="s">
        <v>51</v>
      </c>
      <c r="B742" s="2">
        <v>982.04092000000003</v>
      </c>
      <c r="C742" s="2" t="s">
        <v>544</v>
      </c>
      <c r="D742" s="2" t="s">
        <v>543</v>
      </c>
      <c r="E742" s="2" t="s">
        <v>164</v>
      </c>
      <c r="F742" s="3">
        <v>43770</v>
      </c>
      <c r="G742" s="2" t="str">
        <f>"9780826360915"</f>
        <v>9780826360915</v>
      </c>
      <c r="H742" s="2" t="s">
        <v>14</v>
      </c>
      <c r="I742" s="4">
        <v>44015.568055555559</v>
      </c>
      <c r="J742" s="2" t="s">
        <v>545</v>
      </c>
    </row>
    <row r="743" spans="1:10" ht="150" x14ac:dyDescent="0.25">
      <c r="A743" s="2" t="s">
        <v>51</v>
      </c>
      <c r="B743" s="2" t="s">
        <v>13058</v>
      </c>
      <c r="C743" s="2" t="s">
        <v>8574</v>
      </c>
      <c r="D743" s="2" t="s">
        <v>13057</v>
      </c>
      <c r="E743" s="2" t="s">
        <v>54</v>
      </c>
      <c r="F743" s="3">
        <v>42746</v>
      </c>
      <c r="G743" s="2" t="str">
        <f>"9781503600683"</f>
        <v>9781503600683</v>
      </c>
      <c r="H743" s="2" t="s">
        <v>14</v>
      </c>
      <c r="I743" s="4">
        <v>42746.084027777775</v>
      </c>
      <c r="J743" s="2" t="s">
        <v>13059</v>
      </c>
    </row>
    <row r="744" spans="1:10" ht="180" x14ac:dyDescent="0.25">
      <c r="A744" s="2" t="s">
        <v>51</v>
      </c>
      <c r="B744" s="2">
        <v>973.5</v>
      </c>
      <c r="C744" s="2" t="s">
        <v>5649</v>
      </c>
      <c r="D744" s="2" t="s">
        <v>5648</v>
      </c>
      <c r="E744" s="2" t="s">
        <v>455</v>
      </c>
      <c r="F744" s="3">
        <v>42181</v>
      </c>
      <c r="G744" s="2" t="str">
        <f>"9781631011610"</f>
        <v>9781631011610</v>
      </c>
      <c r="H744" s="2" t="s">
        <v>14</v>
      </c>
      <c r="I744" s="4">
        <v>43583.602083333331</v>
      </c>
      <c r="J744" s="2" t="s">
        <v>5650</v>
      </c>
    </row>
    <row r="745" spans="1:10" ht="135" x14ac:dyDescent="0.25">
      <c r="A745" s="2" t="s">
        <v>51</v>
      </c>
      <c r="B745" s="2">
        <v>960.33</v>
      </c>
      <c r="C745" s="2" t="s">
        <v>8613</v>
      </c>
      <c r="D745" s="2" t="s">
        <v>8612</v>
      </c>
      <c r="E745" s="2" t="s">
        <v>69</v>
      </c>
      <c r="F745" s="3">
        <v>41739</v>
      </c>
      <c r="G745" s="2" t="str">
        <f>"9780253012784"</f>
        <v>9780253012784</v>
      </c>
      <c r="H745" s="2" t="s">
        <v>14</v>
      </c>
      <c r="I745" s="4">
        <v>43281.98541666667</v>
      </c>
      <c r="J745" s="2" t="s">
        <v>8614</v>
      </c>
    </row>
    <row r="746" spans="1:10" ht="165" x14ac:dyDescent="0.25">
      <c r="A746" s="2" t="s">
        <v>51</v>
      </c>
      <c r="B746" s="2">
        <v>930.1096</v>
      </c>
      <c r="C746" s="2" t="s">
        <v>5490</v>
      </c>
      <c r="D746" s="2" t="s">
        <v>5489</v>
      </c>
      <c r="E746" s="2" t="s">
        <v>212</v>
      </c>
      <c r="F746" s="3">
        <v>42097</v>
      </c>
      <c r="G746" s="2" t="str">
        <f>"9789956792719"</f>
        <v>9789956792719</v>
      </c>
      <c r="H746" s="2" t="s">
        <v>14</v>
      </c>
      <c r="I746" s="4">
        <v>43594.602777777778</v>
      </c>
      <c r="J746" s="2" t="s">
        <v>5491</v>
      </c>
    </row>
    <row r="747" spans="1:10" ht="135" x14ac:dyDescent="0.25">
      <c r="A747" s="2" t="s">
        <v>51</v>
      </c>
      <c r="B747" s="2">
        <v>967.73050999999998</v>
      </c>
      <c r="C747" s="2" t="s">
        <v>9543</v>
      </c>
      <c r="D747" s="2" t="s">
        <v>9542</v>
      </c>
      <c r="E747" s="2" t="s">
        <v>69</v>
      </c>
      <c r="F747" s="3">
        <v>42639</v>
      </c>
      <c r="G747" s="2" t="str">
        <f>"9780253022370"</f>
        <v>9780253022370</v>
      </c>
      <c r="H747" s="2" t="s">
        <v>14</v>
      </c>
      <c r="I747" s="4">
        <v>43157.413888888892</v>
      </c>
      <c r="J747" s="2" t="s">
        <v>9544</v>
      </c>
    </row>
    <row r="748" spans="1:10" ht="150" x14ac:dyDescent="0.25">
      <c r="A748" s="2" t="s">
        <v>51</v>
      </c>
      <c r="B748" s="2" t="s">
        <v>10372</v>
      </c>
      <c r="C748" s="2" t="s">
        <v>10373</v>
      </c>
      <c r="D748" s="2" t="s">
        <v>10371</v>
      </c>
      <c r="E748" s="2" t="s">
        <v>180</v>
      </c>
      <c r="F748" s="3">
        <v>41887</v>
      </c>
      <c r="G748" s="2" t="str">
        <f>"9781479876693"</f>
        <v>9781479876693</v>
      </c>
      <c r="H748" s="2" t="s">
        <v>14</v>
      </c>
      <c r="I748" s="4">
        <v>43063.647916666669</v>
      </c>
      <c r="J748" s="2" t="s">
        <v>10374</v>
      </c>
    </row>
    <row r="749" spans="1:10" ht="135" x14ac:dyDescent="0.25">
      <c r="A749" s="2" t="s">
        <v>51</v>
      </c>
      <c r="B749" s="2">
        <v>968.05092000000002</v>
      </c>
      <c r="C749" s="2" t="s">
        <v>7250</v>
      </c>
      <c r="D749" s="2" t="s">
        <v>7249</v>
      </c>
      <c r="E749" s="2" t="s">
        <v>256</v>
      </c>
      <c r="F749" s="3">
        <v>43321</v>
      </c>
      <c r="G749" s="2" t="str">
        <f>"9780821446423"</f>
        <v>9780821446423</v>
      </c>
      <c r="H749" s="2" t="s">
        <v>14</v>
      </c>
      <c r="I749" s="4">
        <v>43431.369444444441</v>
      </c>
      <c r="J749" s="2" t="s">
        <v>7251</v>
      </c>
    </row>
    <row r="750" spans="1:10" ht="150" x14ac:dyDescent="0.25">
      <c r="A750" s="2" t="s">
        <v>51</v>
      </c>
      <c r="B750" s="2" t="s">
        <v>1458</v>
      </c>
      <c r="C750" s="2" t="s">
        <v>4219</v>
      </c>
      <c r="D750" s="2" t="s">
        <v>4218</v>
      </c>
      <c r="E750" s="2" t="s">
        <v>2560</v>
      </c>
      <c r="F750" s="3">
        <v>42563</v>
      </c>
      <c r="G750" s="2" t="str">
        <f>"9780826520999"</f>
        <v>9780826520999</v>
      </c>
      <c r="H750" s="2" t="s">
        <v>14</v>
      </c>
      <c r="I750" s="4">
        <v>43691.438194444447</v>
      </c>
      <c r="J750" s="2" t="s">
        <v>4220</v>
      </c>
    </row>
    <row r="751" spans="1:10" ht="135" x14ac:dyDescent="0.25">
      <c r="A751" s="2" t="s">
        <v>51</v>
      </c>
      <c r="B751" s="2">
        <v>973.04924000000005</v>
      </c>
      <c r="C751" s="2" t="s">
        <v>5783</v>
      </c>
      <c r="D751" s="2" t="s">
        <v>5782</v>
      </c>
      <c r="E751" s="2" t="s">
        <v>310</v>
      </c>
      <c r="F751" s="3">
        <v>41661</v>
      </c>
      <c r="G751" s="2" t="str">
        <f>"9780815652441"</f>
        <v>9780815652441</v>
      </c>
      <c r="H751" s="2" t="s">
        <v>14</v>
      </c>
      <c r="I751" s="4">
        <v>43572.350694444445</v>
      </c>
      <c r="J751" s="2" t="s">
        <v>5784</v>
      </c>
    </row>
    <row r="752" spans="1:10" ht="135" x14ac:dyDescent="0.25">
      <c r="A752" s="2" t="s">
        <v>51</v>
      </c>
      <c r="B752" s="2">
        <v>932.2</v>
      </c>
      <c r="C752" s="2" t="s">
        <v>8189</v>
      </c>
      <c r="D752" s="2" t="s">
        <v>8188</v>
      </c>
      <c r="E752" s="2" t="s">
        <v>180</v>
      </c>
      <c r="F752" s="3">
        <v>42383</v>
      </c>
      <c r="G752" s="2" t="str">
        <f>"9781479842230"</f>
        <v>9781479842230</v>
      </c>
      <c r="H752" s="2" t="s">
        <v>14</v>
      </c>
      <c r="I752" s="4">
        <v>43343.386805555558</v>
      </c>
      <c r="J752" s="2" t="s">
        <v>8190</v>
      </c>
    </row>
    <row r="753" spans="1:10" ht="135" x14ac:dyDescent="0.25">
      <c r="A753" s="2" t="s">
        <v>51</v>
      </c>
      <c r="B753" s="2">
        <v>968.04809999999998</v>
      </c>
      <c r="C753" s="2" t="s">
        <v>5104</v>
      </c>
      <c r="D753" s="2" t="s">
        <v>5103</v>
      </c>
      <c r="E753" s="2" t="s">
        <v>578</v>
      </c>
      <c r="F753" s="3">
        <v>42292</v>
      </c>
      <c r="G753" s="2" t="str">
        <f>"9780252097652"</f>
        <v>9780252097652</v>
      </c>
      <c r="H753" s="2" t="s">
        <v>14</v>
      </c>
      <c r="I753" s="4">
        <v>43610.9</v>
      </c>
      <c r="J753" s="2" t="s">
        <v>5105</v>
      </c>
    </row>
    <row r="754" spans="1:10" ht="135" x14ac:dyDescent="0.25">
      <c r="A754" s="2" t="s">
        <v>51</v>
      </c>
      <c r="B754" s="2" t="s">
        <v>181</v>
      </c>
      <c r="C754" s="2" t="s">
        <v>182</v>
      </c>
      <c r="D754" s="2" t="s">
        <v>179</v>
      </c>
      <c r="E754" s="2" t="s">
        <v>180</v>
      </c>
      <c r="F754" s="3">
        <v>42401</v>
      </c>
      <c r="G754" s="2" t="str">
        <f>"9781479818716"</f>
        <v>9781479818716</v>
      </c>
      <c r="H754" s="2" t="s">
        <v>14</v>
      </c>
      <c r="I754" s="4">
        <v>44064.482638888891</v>
      </c>
      <c r="J754" s="2" t="s">
        <v>183</v>
      </c>
    </row>
    <row r="755" spans="1:10" ht="135" x14ac:dyDescent="0.25">
      <c r="A755" s="2" t="s">
        <v>51</v>
      </c>
      <c r="B755" s="2">
        <v>946.90430000000003</v>
      </c>
      <c r="C755" s="2" t="s">
        <v>20</v>
      </c>
      <c r="D755" s="2" t="s">
        <v>4706</v>
      </c>
      <c r="E755" s="2" t="s">
        <v>37</v>
      </c>
      <c r="F755" s="3">
        <v>42800</v>
      </c>
      <c r="G755" s="2" t="str">
        <f>"9783319461946"</f>
        <v>9783319461946</v>
      </c>
      <c r="H755" s="2" t="s">
        <v>14</v>
      </c>
      <c r="I755" s="4">
        <v>43635.65347222222</v>
      </c>
      <c r="J755" s="2" t="s">
        <v>4707</v>
      </c>
    </row>
    <row r="756" spans="1:10" ht="135" x14ac:dyDescent="0.25">
      <c r="A756" s="2" t="s">
        <v>51</v>
      </c>
      <c r="B756" s="2">
        <v>971.01</v>
      </c>
      <c r="C756" s="2" t="s">
        <v>472</v>
      </c>
      <c r="D756" s="2" t="s">
        <v>471</v>
      </c>
      <c r="E756" s="2" t="s">
        <v>46</v>
      </c>
      <c r="F756" s="3">
        <v>43647</v>
      </c>
      <c r="G756" s="2" t="str">
        <f>"9781496214492"</f>
        <v>9781496214492</v>
      </c>
      <c r="H756" s="2" t="s">
        <v>14</v>
      </c>
      <c r="I756" s="4">
        <v>44020.851388888892</v>
      </c>
      <c r="J756" s="2" t="s">
        <v>473</v>
      </c>
    </row>
    <row r="757" spans="1:10" ht="135" x14ac:dyDescent="0.25">
      <c r="A757" s="2" t="s">
        <v>51</v>
      </c>
      <c r="B757" s="2">
        <v>943.64044000000001</v>
      </c>
      <c r="C757" s="2" t="s">
        <v>10314</v>
      </c>
      <c r="D757" s="2" t="s">
        <v>10313</v>
      </c>
      <c r="E757" s="2" t="s">
        <v>156</v>
      </c>
      <c r="F757" s="3">
        <v>42373</v>
      </c>
      <c r="G757" s="2" t="str">
        <f>"9781469625058"</f>
        <v>9781469625058</v>
      </c>
      <c r="H757" s="2" t="s">
        <v>14</v>
      </c>
      <c r="I757" s="4">
        <v>43069.657638888886</v>
      </c>
      <c r="J757" s="2" t="s">
        <v>10315</v>
      </c>
    </row>
    <row r="758" spans="1:10" ht="135" x14ac:dyDescent="0.25">
      <c r="A758" s="2" t="s">
        <v>51</v>
      </c>
      <c r="B758" s="2">
        <v>974</v>
      </c>
      <c r="C758" s="2" t="s">
        <v>2847</v>
      </c>
      <c r="D758" s="2" t="s">
        <v>2845</v>
      </c>
      <c r="E758" s="2" t="s">
        <v>2846</v>
      </c>
      <c r="F758" s="3">
        <v>43509</v>
      </c>
      <c r="G758" s="2" t="str">
        <f>"9781946684806"</f>
        <v>9781946684806</v>
      </c>
      <c r="H758" s="2" t="s">
        <v>14</v>
      </c>
      <c r="I758" s="4">
        <v>43849.951388888891</v>
      </c>
      <c r="J758" s="2" t="s">
        <v>2848</v>
      </c>
    </row>
    <row r="759" spans="1:10" ht="135" x14ac:dyDescent="0.25">
      <c r="A759" s="2" t="s">
        <v>51</v>
      </c>
      <c r="B759" s="2">
        <v>940.28700000000003</v>
      </c>
      <c r="C759" s="2" t="s">
        <v>6586</v>
      </c>
      <c r="D759" s="2" t="s">
        <v>6585</v>
      </c>
      <c r="E759" s="2" t="s">
        <v>723</v>
      </c>
      <c r="F759" s="3">
        <v>41774</v>
      </c>
      <c r="G759" s="2" t="str">
        <f>"9781612493275"</f>
        <v>9781612493275</v>
      </c>
      <c r="H759" s="2" t="s">
        <v>14</v>
      </c>
      <c r="I759" s="4">
        <v>43506.670138888891</v>
      </c>
      <c r="J759" s="2" t="s">
        <v>6587</v>
      </c>
    </row>
    <row r="760" spans="1:10" ht="135" x14ac:dyDescent="0.25">
      <c r="A760" s="2" t="s">
        <v>51</v>
      </c>
      <c r="B760" s="2" t="s">
        <v>3710</v>
      </c>
      <c r="C760" s="2" t="s">
        <v>10123</v>
      </c>
      <c r="D760" s="2" t="s">
        <v>10122</v>
      </c>
      <c r="E760" s="2" t="s">
        <v>499</v>
      </c>
      <c r="F760" s="3">
        <v>42647</v>
      </c>
      <c r="G760" s="2" t="str">
        <f>"9781626163638"</f>
        <v>9781626163638</v>
      </c>
      <c r="H760" s="2" t="s">
        <v>14</v>
      </c>
      <c r="I760" s="4">
        <v>43096.688194444447</v>
      </c>
      <c r="J760" s="2" t="s">
        <v>10124</v>
      </c>
    </row>
    <row r="761" spans="1:10" ht="135" x14ac:dyDescent="0.25">
      <c r="A761" s="2" t="s">
        <v>51</v>
      </c>
      <c r="B761" s="2">
        <v>956.04</v>
      </c>
      <c r="C761" s="2" t="s">
        <v>4397</v>
      </c>
      <c r="D761" s="2" t="s">
        <v>4396</v>
      </c>
      <c r="E761" s="2" t="s">
        <v>235</v>
      </c>
      <c r="F761" s="3">
        <v>41835</v>
      </c>
      <c r="G761" s="2" t="str">
        <f>"9781610690683"</f>
        <v>9781610690683</v>
      </c>
      <c r="H761" s="2" t="s">
        <v>14</v>
      </c>
      <c r="I761" s="4">
        <v>43673.892361111109</v>
      </c>
      <c r="J761" s="2" t="s">
        <v>4398</v>
      </c>
    </row>
    <row r="762" spans="1:10" ht="135" x14ac:dyDescent="0.25">
      <c r="A762" s="2" t="s">
        <v>51</v>
      </c>
      <c r="B762" s="2">
        <v>930.1</v>
      </c>
      <c r="C762" s="2" t="s">
        <v>12887</v>
      </c>
      <c r="D762" s="2" t="s">
        <v>12886</v>
      </c>
      <c r="E762" s="2" t="s">
        <v>130</v>
      </c>
      <c r="F762" s="3">
        <v>42452</v>
      </c>
      <c r="G762" s="2" t="str">
        <f>"9780813055756"</f>
        <v>9780813055756</v>
      </c>
      <c r="H762" s="2" t="s">
        <v>14</v>
      </c>
      <c r="I762" s="4">
        <v>42762.661805555559</v>
      </c>
      <c r="J762" s="2" t="s">
        <v>12888</v>
      </c>
    </row>
    <row r="763" spans="1:10" ht="135" x14ac:dyDescent="0.25">
      <c r="A763" s="2" t="s">
        <v>51</v>
      </c>
      <c r="B763" s="2">
        <v>930.1</v>
      </c>
      <c r="C763" s="2" t="s">
        <v>5857</v>
      </c>
      <c r="D763" s="2" t="s">
        <v>5856</v>
      </c>
      <c r="E763" s="2" t="s">
        <v>130</v>
      </c>
      <c r="F763" s="3">
        <v>43515</v>
      </c>
      <c r="G763" s="2" t="str">
        <f>"9780813057026"</f>
        <v>9780813057026</v>
      </c>
      <c r="H763" s="2" t="s">
        <v>14</v>
      </c>
      <c r="I763" s="4">
        <v>43564.595833333333</v>
      </c>
      <c r="J763" s="2" t="s">
        <v>5858</v>
      </c>
    </row>
    <row r="764" spans="1:10" ht="195" x14ac:dyDescent="0.25">
      <c r="A764" s="2" t="s">
        <v>51</v>
      </c>
      <c r="B764" s="2">
        <v>968.91007200000001</v>
      </c>
      <c r="C764" s="2" t="s">
        <v>8037</v>
      </c>
      <c r="D764" s="2" t="s">
        <v>8036</v>
      </c>
      <c r="E764" s="2" t="s">
        <v>212</v>
      </c>
      <c r="F764" s="3">
        <v>42836</v>
      </c>
      <c r="G764" s="2" t="str">
        <f>"9789956762453"</f>
        <v>9789956762453</v>
      </c>
      <c r="H764" s="2" t="s">
        <v>14</v>
      </c>
      <c r="I764" s="4">
        <v>43361.59652777778</v>
      </c>
      <c r="J764" s="2" t="s">
        <v>8038</v>
      </c>
    </row>
    <row r="765" spans="1:10" ht="135" x14ac:dyDescent="0.25">
      <c r="A765" s="2" t="s">
        <v>51</v>
      </c>
      <c r="B765" s="2">
        <v>959.60419999999999</v>
      </c>
      <c r="C765" s="2" t="s">
        <v>5271</v>
      </c>
      <c r="D765" s="2" t="s">
        <v>6995</v>
      </c>
      <c r="E765" s="2" t="s">
        <v>58</v>
      </c>
      <c r="F765" s="3">
        <v>41730</v>
      </c>
      <c r="G765" s="2" t="str">
        <f>"9780299297534"</f>
        <v>9780299297534</v>
      </c>
      <c r="H765" s="2" t="s">
        <v>14</v>
      </c>
      <c r="I765" s="4">
        <v>43467.457638888889</v>
      </c>
      <c r="J765" s="2" t="s">
        <v>6996</v>
      </c>
    </row>
    <row r="766" spans="1:10" ht="135" x14ac:dyDescent="0.25">
      <c r="A766" s="2" t="s">
        <v>51</v>
      </c>
      <c r="D766" s="2" t="s">
        <v>677</v>
      </c>
      <c r="E766" s="2" t="s">
        <v>678</v>
      </c>
      <c r="F766" s="3">
        <v>43903</v>
      </c>
      <c r="G766" s="2" t="str">
        <f>"9781843517863"</f>
        <v>9781843517863</v>
      </c>
      <c r="H766" s="2" t="s">
        <v>14</v>
      </c>
      <c r="I766" s="4">
        <v>44000.664583333331</v>
      </c>
      <c r="J766" s="2" t="s">
        <v>679</v>
      </c>
    </row>
    <row r="767" spans="1:10" ht="210" x14ac:dyDescent="0.25">
      <c r="A767" s="2" t="s">
        <v>51</v>
      </c>
      <c r="B767" s="2" t="s">
        <v>12746</v>
      </c>
      <c r="C767" s="2" t="s">
        <v>12747</v>
      </c>
      <c r="D767" s="2" t="s">
        <v>12745</v>
      </c>
      <c r="E767" s="2" t="s">
        <v>216</v>
      </c>
      <c r="F767" s="3">
        <v>29402</v>
      </c>
      <c r="G767" s="2" t="str">
        <f>"9781438416267"</f>
        <v>9781438416267</v>
      </c>
      <c r="H767" s="2" t="s">
        <v>14</v>
      </c>
      <c r="I767" s="4">
        <v>42777.836111111108</v>
      </c>
      <c r="J767" s="2" t="s">
        <v>12748</v>
      </c>
    </row>
    <row r="768" spans="1:10" ht="135" x14ac:dyDescent="0.25">
      <c r="A768" s="2" t="s">
        <v>51</v>
      </c>
      <c r="B768" s="2" t="s">
        <v>534</v>
      </c>
      <c r="C768" s="2" t="s">
        <v>535</v>
      </c>
      <c r="D768" s="2" t="s">
        <v>533</v>
      </c>
      <c r="E768" s="2" t="s">
        <v>105</v>
      </c>
      <c r="F768" s="3">
        <v>43638</v>
      </c>
      <c r="G768" s="2" t="str">
        <f>"9781610756655"</f>
        <v>9781610756655</v>
      </c>
      <c r="H768" s="2" t="s">
        <v>14</v>
      </c>
      <c r="I768" s="4">
        <v>44015.59375</v>
      </c>
      <c r="J768" s="2" t="s">
        <v>536</v>
      </c>
    </row>
    <row r="769" spans="1:10" ht="135" x14ac:dyDescent="0.25">
      <c r="A769" s="2" t="s">
        <v>51</v>
      </c>
      <c r="B769" s="2">
        <v>950</v>
      </c>
      <c r="C769" s="2" t="s">
        <v>11440</v>
      </c>
      <c r="D769" s="2" t="s">
        <v>11439</v>
      </c>
      <c r="E769" s="2" t="s">
        <v>1698</v>
      </c>
      <c r="F769" s="3">
        <v>42163</v>
      </c>
      <c r="G769" s="2" t="str">
        <f>"9780674286320"</f>
        <v>9780674286320</v>
      </c>
      <c r="H769" s="2" t="s">
        <v>14</v>
      </c>
      <c r="I769" s="4">
        <v>42968.642361111109</v>
      </c>
      <c r="J769" s="2" t="s">
        <v>11441</v>
      </c>
    </row>
    <row r="770" spans="1:10" ht="135" x14ac:dyDescent="0.25">
      <c r="A770" s="2" t="s">
        <v>51</v>
      </c>
      <c r="B770" s="2" t="s">
        <v>4908</v>
      </c>
      <c r="C770" s="2" t="s">
        <v>4909</v>
      </c>
      <c r="D770" s="2" t="s">
        <v>4907</v>
      </c>
      <c r="E770" s="2" t="s">
        <v>28</v>
      </c>
      <c r="F770" s="3">
        <v>40785</v>
      </c>
      <c r="G770" s="2" t="str">
        <f>"9780813931647"</f>
        <v>9780813931647</v>
      </c>
      <c r="H770" s="2" t="s">
        <v>14</v>
      </c>
      <c r="I770" s="4">
        <v>43619.018750000003</v>
      </c>
      <c r="J770" s="2" t="s">
        <v>4910</v>
      </c>
    </row>
    <row r="771" spans="1:10" ht="135" x14ac:dyDescent="0.25">
      <c r="A771" s="2" t="s">
        <v>51</v>
      </c>
      <c r="B771" s="2">
        <v>935</v>
      </c>
      <c r="C771" s="2" t="s">
        <v>8798</v>
      </c>
      <c r="D771" s="2" t="s">
        <v>8797</v>
      </c>
      <c r="E771" s="2" t="s">
        <v>2089</v>
      </c>
      <c r="F771" s="3">
        <v>42653</v>
      </c>
      <c r="G771" s="2" t="str">
        <f>"9781575064741"</f>
        <v>9781575064741</v>
      </c>
      <c r="H771" s="2" t="s">
        <v>14</v>
      </c>
      <c r="I771" s="4">
        <v>43251.418055555558</v>
      </c>
      <c r="J771" s="2" t="s">
        <v>8799</v>
      </c>
    </row>
    <row r="772" spans="1:10" ht="135" x14ac:dyDescent="0.25">
      <c r="A772" s="2" t="s">
        <v>51</v>
      </c>
      <c r="B772" s="2" t="s">
        <v>8509</v>
      </c>
      <c r="C772" s="2" t="s">
        <v>8510</v>
      </c>
      <c r="D772" s="2" t="s">
        <v>8508</v>
      </c>
      <c r="E772" s="2" t="s">
        <v>156</v>
      </c>
      <c r="F772" s="3">
        <v>42767</v>
      </c>
      <c r="G772" s="2" t="str">
        <f>"9781469631141"</f>
        <v>9781469631141</v>
      </c>
      <c r="H772" s="2" t="s">
        <v>14</v>
      </c>
      <c r="I772" s="4">
        <v>43297.743750000001</v>
      </c>
      <c r="J772" s="2" t="s">
        <v>8511</v>
      </c>
    </row>
    <row r="773" spans="1:10" ht="135" x14ac:dyDescent="0.25">
      <c r="A773" s="2" t="s">
        <v>51</v>
      </c>
      <c r="B773" s="2">
        <v>973.26</v>
      </c>
      <c r="C773" s="2" t="s">
        <v>20</v>
      </c>
      <c r="D773" s="2" t="s">
        <v>10449</v>
      </c>
      <c r="E773" s="2" t="s">
        <v>37</v>
      </c>
      <c r="F773" s="3">
        <v>42559</v>
      </c>
      <c r="G773" s="2" t="str">
        <f>"9783319306650"</f>
        <v>9783319306650</v>
      </c>
      <c r="H773" s="2" t="s">
        <v>14</v>
      </c>
      <c r="I773" s="4">
        <v>43056.531944444447</v>
      </c>
      <c r="J773" s="2" t="s">
        <v>10450</v>
      </c>
    </row>
    <row r="774" spans="1:10" ht="195" x14ac:dyDescent="0.25">
      <c r="A774" s="2" t="s">
        <v>51</v>
      </c>
      <c r="B774" s="2">
        <v>956.70409240000004</v>
      </c>
      <c r="C774" s="2" t="s">
        <v>247</v>
      </c>
      <c r="D774" s="2" t="s">
        <v>245</v>
      </c>
      <c r="E774" s="2" t="s">
        <v>246</v>
      </c>
      <c r="F774" s="3">
        <v>41395</v>
      </c>
      <c r="G774" s="2" t="str">
        <f>"9783447192668"</f>
        <v>9783447192668</v>
      </c>
      <c r="H774" s="2" t="s">
        <v>14</v>
      </c>
      <c r="I774" s="4">
        <v>44050.556250000001</v>
      </c>
      <c r="J774" s="2" t="s">
        <v>248</v>
      </c>
    </row>
    <row r="775" spans="1:10" ht="135" x14ac:dyDescent="0.25">
      <c r="A775" s="2" t="s">
        <v>51</v>
      </c>
      <c r="B775" s="2" t="s">
        <v>6018</v>
      </c>
      <c r="C775" s="2" t="s">
        <v>6019</v>
      </c>
      <c r="D775" s="2" t="s">
        <v>6016</v>
      </c>
      <c r="E775" s="2" t="s">
        <v>6017</v>
      </c>
      <c r="F775" s="3">
        <v>41730</v>
      </c>
      <c r="G775" s="2" t="str">
        <f>"9781742246697"</f>
        <v>9781742246697</v>
      </c>
      <c r="H775" s="2" t="s">
        <v>14</v>
      </c>
      <c r="I775" s="4">
        <v>43549.750694444447</v>
      </c>
      <c r="J775" s="2" t="s">
        <v>6020</v>
      </c>
    </row>
    <row r="776" spans="1:10" ht="135" x14ac:dyDescent="0.25">
      <c r="A776" s="2" t="s">
        <v>51</v>
      </c>
      <c r="C776" s="2" t="s">
        <v>3011</v>
      </c>
      <c r="D776" s="2" t="s">
        <v>3010</v>
      </c>
      <c r="E776" s="2" t="s">
        <v>28</v>
      </c>
      <c r="F776" s="3">
        <v>42857</v>
      </c>
      <c r="G776" s="2" t="str">
        <f>"9780813940045"</f>
        <v>9780813940045</v>
      </c>
      <c r="H776" s="2" t="s">
        <v>14</v>
      </c>
      <c r="I776" s="4">
        <v>43833.942361111112</v>
      </c>
      <c r="J776" s="2" t="s">
        <v>3012</v>
      </c>
    </row>
    <row r="777" spans="1:10" ht="135" x14ac:dyDescent="0.25">
      <c r="A777" s="2" t="s">
        <v>51</v>
      </c>
      <c r="C777" s="2" t="s">
        <v>106</v>
      </c>
      <c r="D777" s="2" t="s">
        <v>104</v>
      </c>
      <c r="E777" s="2" t="s">
        <v>105</v>
      </c>
      <c r="F777" s="3">
        <v>38808</v>
      </c>
      <c r="G777" s="2" t="str">
        <f>"9781610750608"</f>
        <v>9781610750608</v>
      </c>
      <c r="H777" s="2" t="s">
        <v>14</v>
      </c>
      <c r="I777" s="4">
        <v>44071.502083333333</v>
      </c>
      <c r="J777" s="2" t="s">
        <v>107</v>
      </c>
    </row>
    <row r="778" spans="1:10" ht="135" x14ac:dyDescent="0.25">
      <c r="A778" s="2" t="s">
        <v>51</v>
      </c>
      <c r="B778" s="2" t="s">
        <v>11913</v>
      </c>
      <c r="C778" s="2" t="s">
        <v>11914</v>
      </c>
      <c r="D778" s="2" t="s">
        <v>11912</v>
      </c>
      <c r="E778" s="2" t="s">
        <v>73</v>
      </c>
      <c r="F778" s="3">
        <v>42675</v>
      </c>
      <c r="G778" s="2" t="str">
        <f>"9781452953380"</f>
        <v>9781452953380</v>
      </c>
      <c r="H778" s="2" t="s">
        <v>14</v>
      </c>
      <c r="I778" s="4">
        <v>42872.468055555553</v>
      </c>
      <c r="J778" s="2" t="s">
        <v>11915</v>
      </c>
    </row>
    <row r="779" spans="1:10" ht="135" x14ac:dyDescent="0.25">
      <c r="A779" s="2" t="s">
        <v>51</v>
      </c>
      <c r="B779" s="2" t="s">
        <v>1728</v>
      </c>
      <c r="C779" s="2" t="s">
        <v>8567</v>
      </c>
      <c r="D779" s="2" t="s">
        <v>8566</v>
      </c>
      <c r="E779" s="2" t="s">
        <v>73</v>
      </c>
      <c r="F779" s="3">
        <v>43040</v>
      </c>
      <c r="G779" s="2" t="str">
        <f>"9781452955452"</f>
        <v>9781452955452</v>
      </c>
      <c r="H779" s="2" t="s">
        <v>14</v>
      </c>
      <c r="I779" s="4">
        <v>43287.538888888892</v>
      </c>
      <c r="J779" s="2" t="s">
        <v>8568</v>
      </c>
    </row>
    <row r="780" spans="1:10" ht="135" x14ac:dyDescent="0.25">
      <c r="A780" s="2" t="s">
        <v>51</v>
      </c>
      <c r="B780" s="2">
        <v>973.30920000000003</v>
      </c>
      <c r="C780" s="2" t="s">
        <v>8719</v>
      </c>
      <c r="D780" s="2" t="s">
        <v>8717</v>
      </c>
      <c r="E780" s="2" t="s">
        <v>8718</v>
      </c>
      <c r="F780" s="3">
        <v>41270</v>
      </c>
      <c r="G780" s="2" t="str">
        <f>"9781611470291"</f>
        <v>9781611470291</v>
      </c>
      <c r="H780" s="2" t="s">
        <v>14</v>
      </c>
      <c r="I780" s="4">
        <v>43262.40902777778</v>
      </c>
      <c r="J780" s="2" t="s">
        <v>8720</v>
      </c>
    </row>
    <row r="781" spans="1:10" ht="135" x14ac:dyDescent="0.25">
      <c r="A781" s="2" t="s">
        <v>51</v>
      </c>
      <c r="B781" s="2">
        <v>973.3</v>
      </c>
      <c r="C781" s="2" t="s">
        <v>5592</v>
      </c>
      <c r="D781" s="2" t="s">
        <v>5591</v>
      </c>
      <c r="E781" s="2" t="s">
        <v>28</v>
      </c>
      <c r="F781" s="3">
        <v>43461</v>
      </c>
      <c r="G781" s="2" t="str">
        <f>"9780813941769"</f>
        <v>9780813941769</v>
      </c>
      <c r="H781" s="2" t="s">
        <v>14</v>
      </c>
      <c r="I781" s="4">
        <v>43586.674305555556</v>
      </c>
      <c r="J781" s="2" t="s">
        <v>5593</v>
      </c>
    </row>
    <row r="782" spans="1:10" ht="135" x14ac:dyDescent="0.25">
      <c r="A782" s="2" t="s">
        <v>51</v>
      </c>
      <c r="B782" s="2">
        <v>972.90530000000001</v>
      </c>
      <c r="C782" s="2" t="s">
        <v>5565</v>
      </c>
      <c r="D782" s="2" t="s">
        <v>5564</v>
      </c>
      <c r="E782" s="2" t="s">
        <v>69</v>
      </c>
      <c r="F782" s="3">
        <v>43497</v>
      </c>
      <c r="G782" s="2" t="str">
        <f>"9780253036278"</f>
        <v>9780253036278</v>
      </c>
      <c r="H782" s="2" t="s">
        <v>14</v>
      </c>
      <c r="I782" s="4">
        <v>43588.04791666667</v>
      </c>
      <c r="J782" s="2" t="s">
        <v>5566</v>
      </c>
    </row>
    <row r="783" spans="1:10" ht="135" x14ac:dyDescent="0.25">
      <c r="A783" s="2" t="s">
        <v>51</v>
      </c>
      <c r="B783" s="2">
        <v>985.01</v>
      </c>
      <c r="C783" s="2" t="s">
        <v>10068</v>
      </c>
      <c r="D783" s="2" t="s">
        <v>10067</v>
      </c>
      <c r="E783" s="2" t="s">
        <v>130</v>
      </c>
      <c r="F783" s="3">
        <v>42633</v>
      </c>
      <c r="G783" s="2" t="str">
        <f>"9780813052564"</f>
        <v>9780813052564</v>
      </c>
      <c r="H783" s="2" t="s">
        <v>14</v>
      </c>
      <c r="I783" s="4">
        <v>43106.015972222223</v>
      </c>
      <c r="J783" s="2" t="s">
        <v>10069</v>
      </c>
    </row>
    <row r="784" spans="1:10" ht="135" x14ac:dyDescent="0.25">
      <c r="A784" s="2" t="s">
        <v>51</v>
      </c>
      <c r="B784" s="2">
        <v>933</v>
      </c>
      <c r="C784" s="2" t="s">
        <v>2384</v>
      </c>
      <c r="D784" s="2" t="s">
        <v>2383</v>
      </c>
      <c r="E784" s="2" t="s">
        <v>370</v>
      </c>
      <c r="F784" s="3">
        <v>43014</v>
      </c>
      <c r="G784" s="2" t="str">
        <f>"9780884142171"</f>
        <v>9780884142171</v>
      </c>
      <c r="H784" s="2" t="s">
        <v>14</v>
      </c>
      <c r="I784" s="4">
        <v>43888.638888888891</v>
      </c>
      <c r="J784" s="2" t="s">
        <v>2385</v>
      </c>
    </row>
    <row r="785" spans="1:10" ht="150" x14ac:dyDescent="0.25">
      <c r="A785" s="2" t="s">
        <v>51</v>
      </c>
      <c r="B785" s="2" t="s">
        <v>1728</v>
      </c>
      <c r="C785" s="2" t="s">
        <v>6459</v>
      </c>
      <c r="D785" s="2" t="s">
        <v>6458</v>
      </c>
      <c r="E785" s="2" t="s">
        <v>216</v>
      </c>
      <c r="F785" s="3">
        <v>41944</v>
      </c>
      <c r="G785" s="2" t="str">
        <f>"9781438453439"</f>
        <v>9781438453439</v>
      </c>
      <c r="H785" s="2" t="s">
        <v>14</v>
      </c>
      <c r="I785" s="4">
        <v>43516.193749999999</v>
      </c>
      <c r="J785" s="2" t="s">
        <v>6460</v>
      </c>
    </row>
    <row r="786" spans="1:10" ht="165" x14ac:dyDescent="0.25">
      <c r="A786" s="2" t="s">
        <v>51</v>
      </c>
      <c r="B786" s="2">
        <v>940.5</v>
      </c>
      <c r="C786" s="2" t="s">
        <v>4161</v>
      </c>
      <c r="D786" s="2" t="s">
        <v>4160</v>
      </c>
      <c r="E786" s="2" t="s">
        <v>69</v>
      </c>
      <c r="F786" s="3">
        <v>43553</v>
      </c>
      <c r="G786" s="2" t="str">
        <f>"9780253040947"</f>
        <v>9780253040947</v>
      </c>
      <c r="H786" s="2" t="s">
        <v>14</v>
      </c>
      <c r="I786" s="4">
        <v>43704.723611111112</v>
      </c>
      <c r="J786" s="2" t="s">
        <v>4162</v>
      </c>
    </row>
    <row r="787" spans="1:10" ht="135" x14ac:dyDescent="0.25">
      <c r="A787" s="2" t="s">
        <v>51</v>
      </c>
      <c r="B787" s="2" t="s">
        <v>1458</v>
      </c>
      <c r="C787" s="2" t="s">
        <v>7169</v>
      </c>
      <c r="D787" s="2" t="s">
        <v>7168</v>
      </c>
      <c r="E787" s="2" t="s">
        <v>130</v>
      </c>
      <c r="F787" s="3">
        <v>43346</v>
      </c>
      <c r="G787" s="2" t="str">
        <f>"9780813052373"</f>
        <v>9780813052373</v>
      </c>
      <c r="H787" s="2" t="s">
        <v>14</v>
      </c>
      <c r="I787" s="4">
        <v>43438.572222222225</v>
      </c>
      <c r="J787" s="2" t="s">
        <v>7170</v>
      </c>
    </row>
    <row r="788" spans="1:10" ht="135" x14ac:dyDescent="0.25">
      <c r="A788" s="2" t="s">
        <v>51</v>
      </c>
      <c r="B788" s="2">
        <v>921</v>
      </c>
      <c r="C788" s="2" t="s">
        <v>5292</v>
      </c>
      <c r="D788" s="2" t="s">
        <v>5291</v>
      </c>
      <c r="E788" s="2" t="s">
        <v>69</v>
      </c>
      <c r="F788" s="3">
        <v>43567</v>
      </c>
      <c r="G788" s="2" t="str">
        <f>"9780253039187"</f>
        <v>9780253039187</v>
      </c>
      <c r="H788" s="2" t="s">
        <v>14</v>
      </c>
      <c r="I788" s="4">
        <v>43605.970833333333</v>
      </c>
      <c r="J788" s="2" t="s">
        <v>5293</v>
      </c>
    </row>
    <row r="789" spans="1:10" ht="135" x14ac:dyDescent="0.25">
      <c r="A789" s="2" t="s">
        <v>51</v>
      </c>
      <c r="B789" s="2" t="s">
        <v>6514</v>
      </c>
      <c r="D789" s="2" t="s">
        <v>6513</v>
      </c>
      <c r="E789" s="2" t="s">
        <v>77</v>
      </c>
      <c r="F789" s="3">
        <v>43053</v>
      </c>
      <c r="G789" s="2" t="str">
        <f>"9781786071859"</f>
        <v>9781786071859</v>
      </c>
      <c r="H789" s="2" t="s">
        <v>14</v>
      </c>
      <c r="I789" s="4">
        <v>43511.568055555559</v>
      </c>
      <c r="J789" s="2" t="s">
        <v>6515</v>
      </c>
    </row>
    <row r="790" spans="1:10" ht="135" x14ac:dyDescent="0.25">
      <c r="A790" s="2" t="s">
        <v>51</v>
      </c>
      <c r="B790" s="2">
        <v>974.00496072999999</v>
      </c>
      <c r="C790" s="2" t="s">
        <v>12380</v>
      </c>
      <c r="D790" s="2" t="s">
        <v>12379</v>
      </c>
      <c r="E790" s="2" t="s">
        <v>4660</v>
      </c>
      <c r="F790" s="3">
        <v>40147</v>
      </c>
      <c r="G790" s="2" t="str">
        <f>"9780813150451"</f>
        <v>9780813150451</v>
      </c>
      <c r="H790" s="2" t="s">
        <v>14</v>
      </c>
      <c r="I790" s="4">
        <v>42812.611805555556</v>
      </c>
      <c r="J790" s="2" t="s">
        <v>12381</v>
      </c>
    </row>
    <row r="791" spans="1:10" ht="165" x14ac:dyDescent="0.25">
      <c r="A791" s="2" t="s">
        <v>51</v>
      </c>
      <c r="B791" s="2">
        <v>930.1</v>
      </c>
      <c r="C791" s="2" t="s">
        <v>10305</v>
      </c>
      <c r="D791" s="2" t="s">
        <v>10304</v>
      </c>
      <c r="E791" s="2" t="s">
        <v>130</v>
      </c>
      <c r="F791" s="3">
        <v>42836</v>
      </c>
      <c r="G791" s="2" t="str">
        <f>"9780813052595"</f>
        <v>9780813052595</v>
      </c>
      <c r="H791" s="2" t="s">
        <v>14</v>
      </c>
      <c r="I791" s="4">
        <v>43071.693055555559</v>
      </c>
      <c r="J791" s="2" t="s">
        <v>10306</v>
      </c>
    </row>
    <row r="792" spans="1:10" ht="135" x14ac:dyDescent="0.25">
      <c r="A792" s="2" t="s">
        <v>51</v>
      </c>
      <c r="D792" s="2" t="s">
        <v>1643</v>
      </c>
      <c r="E792" s="2" t="s">
        <v>322</v>
      </c>
      <c r="F792" s="3">
        <v>43845</v>
      </c>
      <c r="G792" s="2" t="str">
        <f>"9780820356075"</f>
        <v>9780820356075</v>
      </c>
      <c r="H792" s="2" t="s">
        <v>14</v>
      </c>
      <c r="I792" s="4">
        <v>43934.681944444441</v>
      </c>
      <c r="J792" s="2" t="s">
        <v>1644</v>
      </c>
    </row>
    <row r="793" spans="1:10" ht="135" x14ac:dyDescent="0.25">
      <c r="A793" s="2" t="s">
        <v>51</v>
      </c>
      <c r="B793" s="2">
        <v>962.40430000000003</v>
      </c>
      <c r="C793" s="2" t="s">
        <v>3417</v>
      </c>
      <c r="D793" s="2" t="s">
        <v>3416</v>
      </c>
      <c r="E793" s="2" t="s">
        <v>54</v>
      </c>
      <c r="F793" s="3">
        <v>43424</v>
      </c>
      <c r="G793" s="2" t="str">
        <f>"9781503607279"</f>
        <v>9781503607279</v>
      </c>
      <c r="H793" s="2" t="s">
        <v>14</v>
      </c>
      <c r="I793" s="4">
        <v>43783.802777777775</v>
      </c>
      <c r="J793" s="2" t="s">
        <v>3418</v>
      </c>
    </row>
    <row r="794" spans="1:10" ht="150" x14ac:dyDescent="0.25">
      <c r="A794" s="2" t="s">
        <v>51</v>
      </c>
      <c r="B794" s="2">
        <v>981</v>
      </c>
      <c r="C794" s="2" t="s">
        <v>12273</v>
      </c>
      <c r="D794" s="2" t="s">
        <v>12272</v>
      </c>
      <c r="E794" s="2" t="s">
        <v>578</v>
      </c>
      <c r="F794" s="3">
        <v>42215</v>
      </c>
      <c r="G794" s="2" t="str">
        <f>"9780252097355"</f>
        <v>9780252097355</v>
      </c>
      <c r="H794" s="2" t="s">
        <v>14</v>
      </c>
      <c r="I794" s="4">
        <v>42823.643055555556</v>
      </c>
      <c r="J794" s="2" t="s">
        <v>12274</v>
      </c>
    </row>
    <row r="795" spans="1:10" ht="135" x14ac:dyDescent="0.25">
      <c r="A795" s="2" t="s">
        <v>51</v>
      </c>
      <c r="B795" s="2">
        <v>973.92909199999997</v>
      </c>
      <c r="C795" s="2" t="s">
        <v>6753</v>
      </c>
      <c r="D795" s="2" t="s">
        <v>6752</v>
      </c>
      <c r="E795" s="2" t="s">
        <v>105</v>
      </c>
      <c r="F795" s="3">
        <v>42537</v>
      </c>
      <c r="G795" s="2" t="str">
        <f>"9781610755856"</f>
        <v>9781610755856</v>
      </c>
      <c r="H795" s="2" t="s">
        <v>14</v>
      </c>
      <c r="I795" s="4">
        <v>43489.884027777778</v>
      </c>
      <c r="J795" s="2" t="s">
        <v>6754</v>
      </c>
    </row>
    <row r="796" spans="1:10" ht="135" x14ac:dyDescent="0.25">
      <c r="A796" s="2" t="s">
        <v>51</v>
      </c>
      <c r="B796" s="2">
        <v>940.53180886404596</v>
      </c>
      <c r="C796" s="2" t="s">
        <v>20</v>
      </c>
      <c r="D796" s="2" t="s">
        <v>5819</v>
      </c>
      <c r="E796" s="2" t="s">
        <v>37</v>
      </c>
      <c r="F796" s="3">
        <v>42655</v>
      </c>
      <c r="G796" s="2" t="str">
        <f>"9783319338316"</f>
        <v>9783319338316</v>
      </c>
      <c r="H796" s="2" t="s">
        <v>14</v>
      </c>
      <c r="I796" s="4">
        <v>43567.803472222222</v>
      </c>
      <c r="J796" s="2" t="s">
        <v>5820</v>
      </c>
    </row>
    <row r="797" spans="1:10" ht="135" x14ac:dyDescent="0.25">
      <c r="A797" s="2" t="s">
        <v>51</v>
      </c>
      <c r="B797" s="2">
        <v>951.17</v>
      </c>
      <c r="C797" s="2" t="s">
        <v>6857</v>
      </c>
      <c r="D797" s="2" t="s">
        <v>6856</v>
      </c>
      <c r="E797" s="2" t="s">
        <v>856</v>
      </c>
      <c r="F797" s="3">
        <v>41791</v>
      </c>
      <c r="G797" s="2" t="str">
        <f>"9780295805351"</f>
        <v>9780295805351</v>
      </c>
      <c r="H797" s="2" t="s">
        <v>14</v>
      </c>
      <c r="I797" s="4">
        <v>43481.765972222223</v>
      </c>
      <c r="J797" s="2" t="s">
        <v>6858</v>
      </c>
    </row>
    <row r="798" spans="1:10" ht="135" x14ac:dyDescent="0.25">
      <c r="A798" s="2" t="s">
        <v>51</v>
      </c>
      <c r="B798" s="2" t="s">
        <v>13071</v>
      </c>
      <c r="C798" s="2" t="s">
        <v>13072</v>
      </c>
      <c r="D798" s="2" t="s">
        <v>13070</v>
      </c>
      <c r="E798" s="2" t="s">
        <v>156</v>
      </c>
      <c r="F798" s="3">
        <v>42478</v>
      </c>
      <c r="G798" s="2" t="str">
        <f>"9781469628066"</f>
        <v>9781469628066</v>
      </c>
      <c r="H798" s="2" t="s">
        <v>14</v>
      </c>
      <c r="I798" s="4">
        <v>42739.084027777775</v>
      </c>
      <c r="J798" s="2" t="s">
        <v>13073</v>
      </c>
    </row>
    <row r="799" spans="1:10" ht="135" x14ac:dyDescent="0.25">
      <c r="A799" s="2" t="s">
        <v>51</v>
      </c>
      <c r="B799" s="2">
        <v>936.101</v>
      </c>
      <c r="C799" s="2" t="s">
        <v>11580</v>
      </c>
      <c r="D799" s="2" t="s">
        <v>11578</v>
      </c>
      <c r="E799" s="2" t="s">
        <v>11579</v>
      </c>
      <c r="F799" s="3">
        <v>41608</v>
      </c>
      <c r="G799" s="2" t="str">
        <f>"9781909686151"</f>
        <v>9781909686151</v>
      </c>
      <c r="H799" s="2" t="s">
        <v>14</v>
      </c>
      <c r="I799" s="4">
        <v>42926.459722222222</v>
      </c>
      <c r="J799" s="2" t="s">
        <v>11581</v>
      </c>
    </row>
    <row r="800" spans="1:10" ht="135" x14ac:dyDescent="0.25">
      <c r="A800" s="2" t="s">
        <v>51</v>
      </c>
      <c r="B800" s="2" t="s">
        <v>4742</v>
      </c>
      <c r="C800" s="2" t="s">
        <v>4743</v>
      </c>
      <c r="D800" s="2" t="s">
        <v>4741</v>
      </c>
      <c r="E800" s="2" t="s">
        <v>1017</v>
      </c>
      <c r="F800" s="3">
        <v>43435</v>
      </c>
      <c r="G800" s="2" t="str">
        <f>"9781640121386"</f>
        <v>9781640121386</v>
      </c>
      <c r="H800" s="2" t="s">
        <v>14</v>
      </c>
      <c r="I800" s="4">
        <v>43632.942361111112</v>
      </c>
      <c r="J800" s="2" t="s">
        <v>4744</v>
      </c>
    </row>
    <row r="801" spans="1:10" ht="135" x14ac:dyDescent="0.25">
      <c r="A801" s="2" t="s">
        <v>51</v>
      </c>
      <c r="C801" s="2" t="s">
        <v>2600</v>
      </c>
      <c r="D801" s="2" t="s">
        <v>2599</v>
      </c>
      <c r="E801" s="2" t="s">
        <v>130</v>
      </c>
      <c r="F801" s="3">
        <v>43844</v>
      </c>
      <c r="G801" s="2" t="str">
        <f>"9781683401070"</f>
        <v>9781683401070</v>
      </c>
      <c r="H801" s="2" t="s">
        <v>14</v>
      </c>
      <c r="I801" s="4">
        <v>43873.444444444445</v>
      </c>
      <c r="J801" s="2" t="s">
        <v>2601</v>
      </c>
    </row>
    <row r="802" spans="1:10" ht="135" x14ac:dyDescent="0.25">
      <c r="A802" s="2" t="s">
        <v>51</v>
      </c>
      <c r="B802" s="2">
        <v>972.84052999999994</v>
      </c>
      <c r="C802" s="2" t="s">
        <v>11369</v>
      </c>
      <c r="D802" s="2" t="s">
        <v>11368</v>
      </c>
      <c r="E802" s="2" t="s">
        <v>256</v>
      </c>
      <c r="F802" s="3">
        <v>42384</v>
      </c>
      <c r="G802" s="2" t="str">
        <f>"9780896804913"</f>
        <v>9780896804913</v>
      </c>
      <c r="H802" s="2" t="s">
        <v>14</v>
      </c>
      <c r="I802" s="4">
        <v>42982.036111111112</v>
      </c>
      <c r="J802" s="2" t="s">
        <v>11370</v>
      </c>
    </row>
    <row r="803" spans="1:10" ht="135" x14ac:dyDescent="0.25">
      <c r="A803" s="2" t="s">
        <v>51</v>
      </c>
      <c r="B803" s="2" t="s">
        <v>10446</v>
      </c>
      <c r="C803" s="2" t="s">
        <v>10447</v>
      </c>
      <c r="D803" s="2" t="s">
        <v>10445</v>
      </c>
      <c r="E803" s="2" t="s">
        <v>156</v>
      </c>
      <c r="F803" s="3">
        <v>42149</v>
      </c>
      <c r="G803" s="2" t="str">
        <f>"9781469623382"</f>
        <v>9781469623382</v>
      </c>
      <c r="H803" s="2" t="s">
        <v>14</v>
      </c>
      <c r="I803" s="4">
        <v>43056.554861111108</v>
      </c>
      <c r="J803" s="2" t="s">
        <v>10448</v>
      </c>
    </row>
    <row r="804" spans="1:10" ht="165" x14ac:dyDescent="0.25">
      <c r="A804" s="2" t="s">
        <v>51</v>
      </c>
      <c r="B804" s="2">
        <v>951.24905799999999</v>
      </c>
      <c r="C804" s="2" t="s">
        <v>4351</v>
      </c>
      <c r="D804" s="2" t="s">
        <v>4350</v>
      </c>
      <c r="E804" s="2" t="s">
        <v>260</v>
      </c>
      <c r="F804" s="3">
        <v>43490</v>
      </c>
      <c r="G804" s="2" t="str">
        <f>"9781439917084"</f>
        <v>9781439917084</v>
      </c>
      <c r="H804" s="2" t="s">
        <v>14</v>
      </c>
      <c r="I804" s="4">
        <v>43677.615277777775</v>
      </c>
      <c r="J804" s="2" t="s">
        <v>4352</v>
      </c>
    </row>
    <row r="805" spans="1:10" ht="135" x14ac:dyDescent="0.25">
      <c r="A805" s="2" t="s">
        <v>51</v>
      </c>
      <c r="B805" s="2" t="s">
        <v>10776</v>
      </c>
      <c r="C805" s="2" t="s">
        <v>10777</v>
      </c>
      <c r="D805" s="2" t="s">
        <v>10775</v>
      </c>
      <c r="E805" s="2" t="s">
        <v>526</v>
      </c>
      <c r="F805" s="3">
        <v>25235</v>
      </c>
      <c r="G805" s="2" t="str">
        <f>"9781477305614"</f>
        <v>9781477305614</v>
      </c>
      <c r="H805" s="2" t="s">
        <v>14</v>
      </c>
      <c r="I805" s="4">
        <v>43037.745138888888</v>
      </c>
      <c r="J805" s="2" t="s">
        <v>10778</v>
      </c>
    </row>
    <row r="806" spans="1:10" ht="135" x14ac:dyDescent="0.25">
      <c r="A806" s="2" t="s">
        <v>51</v>
      </c>
      <c r="B806" s="2">
        <v>944.01409200000001</v>
      </c>
      <c r="C806" s="2" t="s">
        <v>847</v>
      </c>
      <c r="D806" s="2" t="s">
        <v>845</v>
      </c>
      <c r="E806" s="2" t="s">
        <v>846</v>
      </c>
      <c r="F806" s="3">
        <v>35827</v>
      </c>
      <c r="G806" s="2" t="str">
        <f>"9781442602441"</f>
        <v>9781442602441</v>
      </c>
      <c r="H806" s="2" t="s">
        <v>14</v>
      </c>
      <c r="I806" s="4">
        <v>43981.452777777777</v>
      </c>
      <c r="J806" s="2" t="s">
        <v>848</v>
      </c>
    </row>
    <row r="807" spans="1:10" ht="135" x14ac:dyDescent="0.25">
      <c r="A807" s="2" t="s">
        <v>51</v>
      </c>
      <c r="B807" s="2">
        <v>941.07072000000005</v>
      </c>
      <c r="C807" s="2" t="s">
        <v>2404</v>
      </c>
      <c r="D807" s="2" t="s">
        <v>2403</v>
      </c>
      <c r="E807" s="2" t="s">
        <v>69</v>
      </c>
      <c r="F807" s="3">
        <v>43385</v>
      </c>
      <c r="G807" s="2" t="str">
        <f>"9780253037800"</f>
        <v>9780253037800</v>
      </c>
      <c r="H807" s="2" t="s">
        <v>14</v>
      </c>
      <c r="I807" s="4">
        <v>43887.622916666667</v>
      </c>
      <c r="J807" s="2" t="s">
        <v>2405</v>
      </c>
    </row>
    <row r="808" spans="1:10" ht="135" x14ac:dyDescent="0.25">
      <c r="A808" s="2" t="s">
        <v>51</v>
      </c>
      <c r="B808" s="2">
        <v>987.06420000000003</v>
      </c>
      <c r="C808" s="2" t="s">
        <v>11938</v>
      </c>
      <c r="D808" s="2" t="s">
        <v>11937</v>
      </c>
      <c r="E808" s="2" t="s">
        <v>1719</v>
      </c>
      <c r="F808" s="3">
        <v>41604</v>
      </c>
      <c r="G808" s="2" t="str">
        <f>"9780761862666"</f>
        <v>9780761862666</v>
      </c>
      <c r="H808" s="2" t="s">
        <v>14</v>
      </c>
      <c r="I808" s="4">
        <v>42870.534722222219</v>
      </c>
      <c r="J808" s="2" t="s">
        <v>11939</v>
      </c>
    </row>
    <row r="809" spans="1:10" ht="240" x14ac:dyDescent="0.25">
      <c r="A809" s="2" t="s">
        <v>51</v>
      </c>
      <c r="B809" s="2">
        <v>930.1</v>
      </c>
      <c r="C809" s="2" t="s">
        <v>1866</v>
      </c>
      <c r="D809" s="2" t="s">
        <v>1865</v>
      </c>
      <c r="E809" s="2" t="s">
        <v>130</v>
      </c>
      <c r="F809" s="3">
        <v>43221</v>
      </c>
      <c r="G809" s="2" t="str">
        <f>"9780813052281"</f>
        <v>9780813052281</v>
      </c>
      <c r="H809" s="2" t="s">
        <v>14</v>
      </c>
      <c r="I809" s="4">
        <v>43923.595138888886</v>
      </c>
      <c r="J809" s="2" t="s">
        <v>1867</v>
      </c>
    </row>
    <row r="810" spans="1:10" ht="135" x14ac:dyDescent="0.25">
      <c r="A810" s="2" t="s">
        <v>51</v>
      </c>
      <c r="B810" s="2">
        <v>929.351</v>
      </c>
      <c r="D810" s="2" t="s">
        <v>2952</v>
      </c>
      <c r="E810" s="2" t="s">
        <v>856</v>
      </c>
      <c r="F810" s="3">
        <v>43800</v>
      </c>
      <c r="G810" s="2" t="str">
        <f>"9780295746425"</f>
        <v>9780295746425</v>
      </c>
      <c r="H810" s="2" t="s">
        <v>14</v>
      </c>
      <c r="I810" s="4">
        <v>43839.413888888892</v>
      </c>
      <c r="J810" s="2" t="s">
        <v>2953</v>
      </c>
    </row>
    <row r="811" spans="1:10" ht="135" x14ac:dyDescent="0.25">
      <c r="A811" s="2" t="s">
        <v>51</v>
      </c>
      <c r="B811" s="2" t="s">
        <v>11917</v>
      </c>
      <c r="C811" s="2" t="s">
        <v>11918</v>
      </c>
      <c r="D811" s="2" t="s">
        <v>11916</v>
      </c>
      <c r="E811" s="2" t="s">
        <v>526</v>
      </c>
      <c r="F811" s="3">
        <v>41866</v>
      </c>
      <c r="G811" s="2" t="str">
        <f>"9780292761025"</f>
        <v>9780292761025</v>
      </c>
      <c r="H811" s="2" t="s">
        <v>14</v>
      </c>
      <c r="I811" s="4">
        <v>42872.457638888889</v>
      </c>
      <c r="J811" s="2" t="s">
        <v>11919</v>
      </c>
    </row>
    <row r="812" spans="1:10" ht="135" x14ac:dyDescent="0.25">
      <c r="A812" s="2" t="s">
        <v>51</v>
      </c>
      <c r="B812" s="2">
        <v>951.008827</v>
      </c>
      <c r="D812" s="2" t="s">
        <v>4431</v>
      </c>
      <c r="E812" s="2" t="s">
        <v>221</v>
      </c>
      <c r="F812" s="3">
        <v>43390</v>
      </c>
      <c r="G812" s="2" t="str">
        <f>"9789888455379"</f>
        <v>9789888455379</v>
      </c>
      <c r="H812" s="2" t="s">
        <v>14</v>
      </c>
      <c r="I812" s="4">
        <v>43669.657638888886</v>
      </c>
      <c r="J812" s="2" t="s">
        <v>4432</v>
      </c>
    </row>
    <row r="813" spans="1:10" ht="135" x14ac:dyDescent="0.25">
      <c r="A813" s="2" t="s">
        <v>51</v>
      </c>
      <c r="B813" s="2" t="s">
        <v>11823</v>
      </c>
      <c r="C813" s="2" t="s">
        <v>11824</v>
      </c>
      <c r="D813" s="2" t="s">
        <v>11822</v>
      </c>
      <c r="E813" s="2" t="s">
        <v>4660</v>
      </c>
      <c r="F813" s="3">
        <v>37468</v>
      </c>
      <c r="G813" s="2" t="str">
        <f>"9780813158884"</f>
        <v>9780813158884</v>
      </c>
      <c r="H813" s="2" t="s">
        <v>14</v>
      </c>
      <c r="I813" s="4">
        <v>42884.80972222222</v>
      </c>
      <c r="J813" s="2" t="s">
        <v>11825</v>
      </c>
    </row>
    <row r="814" spans="1:10" ht="135" x14ac:dyDescent="0.25">
      <c r="A814" s="2" t="s">
        <v>51</v>
      </c>
      <c r="B814" s="2" t="s">
        <v>12844</v>
      </c>
      <c r="C814" s="2" t="s">
        <v>12845</v>
      </c>
      <c r="D814" s="2" t="s">
        <v>12843</v>
      </c>
      <c r="E814" s="2" t="s">
        <v>216</v>
      </c>
      <c r="F814" s="3">
        <v>42501</v>
      </c>
      <c r="G814" s="2" t="str">
        <f>"9781438460581"</f>
        <v>9781438460581</v>
      </c>
      <c r="H814" s="2" t="s">
        <v>14</v>
      </c>
      <c r="I814" s="4">
        <v>42768.761805555558</v>
      </c>
      <c r="J814" s="2" t="s">
        <v>12846</v>
      </c>
    </row>
    <row r="815" spans="1:10" ht="135" x14ac:dyDescent="0.25">
      <c r="A815" s="2" t="s">
        <v>51</v>
      </c>
      <c r="B815" s="2">
        <v>956.74</v>
      </c>
      <c r="C815" s="2" t="s">
        <v>3875</v>
      </c>
      <c r="D815" s="2" t="s">
        <v>3874</v>
      </c>
      <c r="E815" s="2" t="s">
        <v>54</v>
      </c>
      <c r="F815" s="3">
        <v>43613</v>
      </c>
      <c r="G815" s="2" t="str">
        <f>"9781503609143"</f>
        <v>9781503609143</v>
      </c>
      <c r="H815" s="2" t="s">
        <v>14</v>
      </c>
      <c r="I815" s="4">
        <v>43747.633333333331</v>
      </c>
      <c r="J815" s="2" t="s">
        <v>3876</v>
      </c>
    </row>
    <row r="816" spans="1:10" ht="135" x14ac:dyDescent="0.25">
      <c r="A816" s="2" t="s">
        <v>51</v>
      </c>
      <c r="B816" s="2" t="s">
        <v>12009</v>
      </c>
      <c r="C816" s="2" t="s">
        <v>12010</v>
      </c>
      <c r="D816" s="2" t="s">
        <v>12008</v>
      </c>
      <c r="E816" s="2" t="s">
        <v>578</v>
      </c>
      <c r="F816" s="3">
        <v>42130</v>
      </c>
      <c r="G816" s="2" t="str">
        <f>"9780252097263"</f>
        <v>9780252097263</v>
      </c>
      <c r="H816" s="2" t="s">
        <v>14</v>
      </c>
      <c r="I816" s="4">
        <v>42863.438888888886</v>
      </c>
      <c r="J816" s="2" t="s">
        <v>12011</v>
      </c>
    </row>
    <row r="817" spans="1:10" ht="135" x14ac:dyDescent="0.25">
      <c r="A817" s="2" t="s">
        <v>51</v>
      </c>
      <c r="B817" s="2" t="s">
        <v>8398</v>
      </c>
      <c r="C817" s="2" t="s">
        <v>8399</v>
      </c>
      <c r="D817" s="2" t="s">
        <v>8397</v>
      </c>
      <c r="E817" s="2" t="s">
        <v>1854</v>
      </c>
      <c r="F817" s="3">
        <v>42528</v>
      </c>
      <c r="G817" s="2" t="str">
        <f>"9780875981727"</f>
        <v>9780875981727</v>
      </c>
      <c r="H817" s="2" t="s">
        <v>14</v>
      </c>
      <c r="I817" s="4">
        <v>43313.255555555559</v>
      </c>
      <c r="J817" s="2" t="s">
        <v>8400</v>
      </c>
    </row>
    <row r="818" spans="1:10" ht="135" x14ac:dyDescent="0.25">
      <c r="A818" s="2" t="s">
        <v>51</v>
      </c>
      <c r="B818" s="2" t="s">
        <v>10385</v>
      </c>
      <c r="C818" s="2" t="s">
        <v>10386</v>
      </c>
      <c r="D818" s="2" t="s">
        <v>10384</v>
      </c>
      <c r="E818" s="2" t="s">
        <v>2089</v>
      </c>
      <c r="F818" s="3">
        <v>38838</v>
      </c>
      <c r="G818" s="2" t="str">
        <f>"9781575065144"</f>
        <v>9781575065144</v>
      </c>
      <c r="H818" s="2" t="s">
        <v>14</v>
      </c>
      <c r="I818" s="4">
        <v>43061.970138888886</v>
      </c>
      <c r="J818" s="2" t="s">
        <v>10387</v>
      </c>
    </row>
    <row r="819" spans="1:10" ht="135" x14ac:dyDescent="0.25">
      <c r="A819" s="2" t="s">
        <v>51</v>
      </c>
      <c r="B819" s="2">
        <v>983.06500000000005</v>
      </c>
      <c r="C819" s="2" t="s">
        <v>631</v>
      </c>
      <c r="D819" s="2" t="s">
        <v>630</v>
      </c>
      <c r="E819" s="2" t="s">
        <v>58</v>
      </c>
      <c r="F819" s="3">
        <v>43235</v>
      </c>
      <c r="G819" s="2" t="str">
        <f>"9780299317232"</f>
        <v>9780299317232</v>
      </c>
      <c r="H819" s="2" t="s">
        <v>14</v>
      </c>
      <c r="I819" s="4">
        <v>44005.855555555558</v>
      </c>
      <c r="J819" s="2" t="s">
        <v>632</v>
      </c>
    </row>
    <row r="820" spans="1:10" ht="135" x14ac:dyDescent="0.25">
      <c r="A820" s="2" t="s">
        <v>51</v>
      </c>
      <c r="B820" s="2">
        <v>976.2</v>
      </c>
      <c r="C820" s="2" t="s">
        <v>6741</v>
      </c>
      <c r="D820" s="2" t="s">
        <v>6740</v>
      </c>
      <c r="E820" s="2" t="s">
        <v>156</v>
      </c>
      <c r="F820" s="3">
        <v>42807</v>
      </c>
      <c r="G820" s="2" t="str">
        <f>"9781469631172"</f>
        <v>9781469631172</v>
      </c>
      <c r="H820" s="2" t="s">
        <v>14</v>
      </c>
      <c r="I820" s="4">
        <v>43490.347222222219</v>
      </c>
      <c r="J820" s="2" t="s">
        <v>6742</v>
      </c>
    </row>
    <row r="821" spans="1:10" ht="135" x14ac:dyDescent="0.25">
      <c r="A821" s="2" t="s">
        <v>51</v>
      </c>
      <c r="B821" s="2">
        <v>973.76</v>
      </c>
      <c r="C821" s="2" t="s">
        <v>2981</v>
      </c>
      <c r="D821" s="2" t="s">
        <v>2980</v>
      </c>
      <c r="E821" s="2" t="s">
        <v>156</v>
      </c>
      <c r="F821" s="3">
        <v>43808</v>
      </c>
      <c r="G821" s="2" t="str">
        <f>"9781469653761"</f>
        <v>9781469653761</v>
      </c>
      <c r="H821" s="2" t="s">
        <v>14</v>
      </c>
      <c r="I821" s="4">
        <v>43836.726388888892</v>
      </c>
      <c r="J821" s="2" t="s">
        <v>2982</v>
      </c>
    </row>
    <row r="822" spans="1:10" ht="135" x14ac:dyDescent="0.25">
      <c r="A822" s="2" t="s">
        <v>51</v>
      </c>
      <c r="B822" s="2">
        <v>973.7</v>
      </c>
      <c r="C822" s="2" t="s">
        <v>3000</v>
      </c>
      <c r="D822" s="2" t="s">
        <v>2999</v>
      </c>
      <c r="E822" s="2" t="s">
        <v>156</v>
      </c>
      <c r="F822" s="3">
        <v>43549</v>
      </c>
      <c r="G822" s="2" t="str">
        <f>"9781469649559"</f>
        <v>9781469649559</v>
      </c>
      <c r="H822" s="2" t="s">
        <v>14</v>
      </c>
      <c r="I822" s="4">
        <v>43835.134722222225</v>
      </c>
      <c r="J822" s="2" t="s">
        <v>3001</v>
      </c>
    </row>
    <row r="823" spans="1:10" ht="180" x14ac:dyDescent="0.25">
      <c r="A823" s="2" t="s">
        <v>51</v>
      </c>
      <c r="B823" s="2">
        <v>943.71</v>
      </c>
      <c r="C823" s="2" t="s">
        <v>2744</v>
      </c>
      <c r="D823" s="2" t="s">
        <v>2743</v>
      </c>
      <c r="E823" s="2" t="s">
        <v>397</v>
      </c>
      <c r="F823" s="3">
        <v>42692</v>
      </c>
      <c r="G823" s="2" t="str">
        <f>"9780822981947"</f>
        <v>9780822981947</v>
      </c>
      <c r="H823" s="2" t="s">
        <v>14</v>
      </c>
      <c r="I823" s="4">
        <v>43859.882638888892</v>
      </c>
      <c r="J823" s="2" t="s">
        <v>2745</v>
      </c>
    </row>
    <row r="824" spans="1:10" ht="135" x14ac:dyDescent="0.25">
      <c r="A824" s="2" t="s">
        <v>51</v>
      </c>
      <c r="B824" s="2" t="s">
        <v>13086</v>
      </c>
      <c r="C824" s="2" t="s">
        <v>13087</v>
      </c>
      <c r="D824" s="2" t="s">
        <v>13085</v>
      </c>
      <c r="E824" s="2" t="s">
        <v>54</v>
      </c>
      <c r="F824" s="3">
        <v>42340</v>
      </c>
      <c r="G824" s="2" t="str">
        <f>"9780804796293"</f>
        <v>9780804796293</v>
      </c>
      <c r="H824" s="2" t="s">
        <v>14</v>
      </c>
      <c r="I824" s="4">
        <v>42739.084027777775</v>
      </c>
      <c r="J824" s="2" t="s">
        <v>13088</v>
      </c>
    </row>
    <row r="825" spans="1:10" ht="135" x14ac:dyDescent="0.25">
      <c r="A825" s="2" t="s">
        <v>51</v>
      </c>
      <c r="D825" s="2" t="s">
        <v>6056</v>
      </c>
      <c r="E825" s="2" t="s">
        <v>627</v>
      </c>
      <c r="F825" s="3">
        <v>43324</v>
      </c>
      <c r="G825" s="2" t="str">
        <f>"9789633862018"</f>
        <v>9789633862018</v>
      </c>
      <c r="H825" s="2" t="s">
        <v>14</v>
      </c>
      <c r="I825" s="4">
        <v>43543.832638888889</v>
      </c>
      <c r="J825" s="2" t="s">
        <v>6057</v>
      </c>
    </row>
    <row r="826" spans="1:10" ht="135" x14ac:dyDescent="0.25">
      <c r="A826" s="2" t="s">
        <v>51</v>
      </c>
      <c r="B826" s="2">
        <v>962.904</v>
      </c>
      <c r="C826" s="2" t="s">
        <v>7240</v>
      </c>
      <c r="D826" s="2" t="s">
        <v>7239</v>
      </c>
      <c r="E826" s="2" t="s">
        <v>460</v>
      </c>
      <c r="F826" s="3">
        <v>42982</v>
      </c>
      <c r="G826" s="2" t="str">
        <f>"9780773551794"</f>
        <v>9780773551794</v>
      </c>
      <c r="H826" s="2" t="s">
        <v>14</v>
      </c>
      <c r="I826" s="4">
        <v>43431.566666666666</v>
      </c>
      <c r="J826" s="2" t="s">
        <v>7241</v>
      </c>
    </row>
    <row r="827" spans="1:10" ht="165" x14ac:dyDescent="0.25">
      <c r="A827" s="2" t="s">
        <v>51</v>
      </c>
      <c r="B827" s="2">
        <v>972.01</v>
      </c>
      <c r="C827" s="2" t="s">
        <v>7393</v>
      </c>
      <c r="D827" s="2" t="s">
        <v>7392</v>
      </c>
      <c r="E827" s="2" t="s">
        <v>164</v>
      </c>
      <c r="F827" s="3">
        <v>43405</v>
      </c>
      <c r="G827" s="2" t="str">
        <f>"9780826359742"</f>
        <v>9780826359742</v>
      </c>
      <c r="H827" s="2" t="s">
        <v>14</v>
      </c>
      <c r="I827" s="4">
        <v>43419.818749999999</v>
      </c>
      <c r="J827" s="2" t="s">
        <v>7394</v>
      </c>
    </row>
    <row r="828" spans="1:10" ht="150" x14ac:dyDescent="0.25">
      <c r="A828" s="2" t="s">
        <v>51</v>
      </c>
      <c r="B828" s="2">
        <v>979.49040000000002</v>
      </c>
      <c r="C828" s="2" t="s">
        <v>6470</v>
      </c>
      <c r="D828" s="2" t="s">
        <v>6469</v>
      </c>
      <c r="E828" s="2" t="s">
        <v>65</v>
      </c>
      <c r="F828" s="3">
        <v>43125</v>
      </c>
      <c r="G828" s="2" t="str">
        <f>"9780806160832"</f>
        <v>9780806160832</v>
      </c>
      <c r="H828" s="2" t="s">
        <v>14</v>
      </c>
      <c r="I828" s="4">
        <v>43515.547222222223</v>
      </c>
      <c r="J828" s="2" t="s">
        <v>6471</v>
      </c>
    </row>
    <row r="829" spans="1:10" ht="135" x14ac:dyDescent="0.25">
      <c r="A829" s="2" t="s">
        <v>51</v>
      </c>
      <c r="B829" s="2">
        <v>974.01</v>
      </c>
      <c r="C829" s="2" t="s">
        <v>2423</v>
      </c>
      <c r="D829" s="2" t="s">
        <v>2422</v>
      </c>
      <c r="E829" s="2" t="s">
        <v>130</v>
      </c>
      <c r="F829" s="3">
        <v>43480</v>
      </c>
      <c r="G829" s="2" t="str">
        <f>"9780813052465"</f>
        <v>9780813052465</v>
      </c>
      <c r="H829" s="2" t="s">
        <v>14</v>
      </c>
      <c r="I829" s="4">
        <v>43886.425694444442</v>
      </c>
      <c r="J829" s="2" t="s">
        <v>2424</v>
      </c>
    </row>
    <row r="830" spans="1:10" ht="135" x14ac:dyDescent="0.25">
      <c r="A830" s="2" t="s">
        <v>51</v>
      </c>
      <c r="B830" s="2">
        <v>978.00497524299999</v>
      </c>
      <c r="C830" s="2" t="s">
        <v>5285</v>
      </c>
      <c r="D830" s="2" t="s">
        <v>5284</v>
      </c>
      <c r="E830" s="2" t="s">
        <v>65</v>
      </c>
      <c r="F830" s="3">
        <v>41411</v>
      </c>
      <c r="G830" s="2" t="str">
        <f>"9780806188898"</f>
        <v>9780806188898</v>
      </c>
      <c r="H830" s="2" t="s">
        <v>14</v>
      </c>
      <c r="I830" s="4">
        <v>43605.990972222222</v>
      </c>
      <c r="J830" s="2" t="s">
        <v>5286</v>
      </c>
    </row>
    <row r="831" spans="1:10" ht="135" x14ac:dyDescent="0.25">
      <c r="A831" s="2" t="s">
        <v>51</v>
      </c>
      <c r="B831" s="2" t="s">
        <v>6277</v>
      </c>
      <c r="C831" s="2" t="s">
        <v>6278</v>
      </c>
      <c r="D831" s="2" t="s">
        <v>6275</v>
      </c>
      <c r="E831" s="2" t="s">
        <v>6276</v>
      </c>
      <c r="F831" s="3">
        <v>42430</v>
      </c>
      <c r="G831" s="2" t="str">
        <f>"9781611689525"</f>
        <v>9781611689525</v>
      </c>
      <c r="H831" s="2" t="s">
        <v>14</v>
      </c>
      <c r="I831" s="4">
        <v>43527.761111111111</v>
      </c>
      <c r="J831" s="2" t="s">
        <v>6279</v>
      </c>
    </row>
    <row r="832" spans="1:10" ht="135" x14ac:dyDescent="0.25">
      <c r="A832" s="2" t="s">
        <v>51</v>
      </c>
      <c r="B832" s="2">
        <v>973.71</v>
      </c>
      <c r="C832" s="2" t="s">
        <v>7662</v>
      </c>
      <c r="D832" s="2" t="s">
        <v>7661</v>
      </c>
      <c r="E832" s="2" t="s">
        <v>28</v>
      </c>
      <c r="F832" s="3">
        <v>41593</v>
      </c>
      <c r="G832" s="2" t="str">
        <f>"9780813935010"</f>
        <v>9780813935010</v>
      </c>
      <c r="H832" s="2" t="s">
        <v>14</v>
      </c>
      <c r="I832" s="4">
        <v>43401.621527777781</v>
      </c>
      <c r="J832" s="2" t="s">
        <v>7663</v>
      </c>
    </row>
    <row r="833" spans="1:10" ht="135" x14ac:dyDescent="0.25">
      <c r="A833" s="2" t="s">
        <v>51</v>
      </c>
      <c r="B833" s="2">
        <v>940.53099999999995</v>
      </c>
      <c r="C833" s="2" t="s">
        <v>8157</v>
      </c>
      <c r="D833" s="2" t="s">
        <v>8156</v>
      </c>
      <c r="E833" s="2" t="s">
        <v>856</v>
      </c>
      <c r="F833" s="3">
        <v>41700</v>
      </c>
      <c r="G833" s="2" t="str">
        <f>"9780295805320"</f>
        <v>9780295805320</v>
      </c>
      <c r="H833" s="2" t="s">
        <v>14</v>
      </c>
      <c r="I833" s="4">
        <v>43346.524305555555</v>
      </c>
      <c r="J833" s="2" t="s">
        <v>8158</v>
      </c>
    </row>
    <row r="834" spans="1:10" ht="210" x14ac:dyDescent="0.25">
      <c r="A834" s="2" t="s">
        <v>51</v>
      </c>
      <c r="B834" s="2">
        <v>973.8</v>
      </c>
      <c r="C834" s="2" t="s">
        <v>5255</v>
      </c>
      <c r="D834" s="2" t="s">
        <v>5254</v>
      </c>
      <c r="E834" s="2" t="s">
        <v>54</v>
      </c>
      <c r="F834" s="3">
        <v>41647</v>
      </c>
      <c r="G834" s="2" t="str">
        <f>"9780804788410"</f>
        <v>9780804788410</v>
      </c>
      <c r="H834" s="2" t="s">
        <v>14</v>
      </c>
      <c r="I834" s="4">
        <v>43606.606249999997</v>
      </c>
      <c r="J834" s="2" t="s">
        <v>5256</v>
      </c>
    </row>
    <row r="835" spans="1:10" ht="150" x14ac:dyDescent="0.25">
      <c r="A835" s="2" t="s">
        <v>51</v>
      </c>
      <c r="B835" s="2">
        <v>970.01</v>
      </c>
      <c r="C835" s="2" t="s">
        <v>5986</v>
      </c>
      <c r="D835" s="2" t="s">
        <v>5985</v>
      </c>
      <c r="E835" s="2" t="s">
        <v>195</v>
      </c>
      <c r="F835" s="3">
        <v>43151</v>
      </c>
      <c r="G835" s="2" t="str">
        <f>"9780816538232"</f>
        <v>9780816538232</v>
      </c>
      <c r="H835" s="2" t="s">
        <v>14</v>
      </c>
      <c r="I835" s="4">
        <v>43551.592361111114</v>
      </c>
      <c r="J835" s="2" t="s">
        <v>5987</v>
      </c>
    </row>
    <row r="836" spans="1:10" ht="135" x14ac:dyDescent="0.25">
      <c r="A836" s="2" t="s">
        <v>51</v>
      </c>
      <c r="B836" s="2" t="s">
        <v>5532</v>
      </c>
      <c r="C836" s="2" t="s">
        <v>5533</v>
      </c>
      <c r="D836" s="2" t="s">
        <v>5531</v>
      </c>
      <c r="E836" s="2" t="s">
        <v>130</v>
      </c>
      <c r="F836" s="3">
        <v>41940</v>
      </c>
      <c r="G836" s="2" t="str">
        <f>"9780813059303"</f>
        <v>9780813059303</v>
      </c>
      <c r="H836" s="2" t="s">
        <v>14</v>
      </c>
      <c r="I836" s="4">
        <v>43592.300694444442</v>
      </c>
      <c r="J836" s="2" t="s">
        <v>5534</v>
      </c>
    </row>
    <row r="837" spans="1:10" ht="135" x14ac:dyDescent="0.25">
      <c r="A837" s="2" t="s">
        <v>51</v>
      </c>
      <c r="B837" s="2" t="s">
        <v>5493</v>
      </c>
      <c r="C837" s="2" t="s">
        <v>5494</v>
      </c>
      <c r="D837" s="2" t="s">
        <v>5492</v>
      </c>
      <c r="E837" s="2" t="s">
        <v>11</v>
      </c>
      <c r="F837" s="3">
        <v>41977</v>
      </c>
      <c r="G837" s="2" t="str">
        <f>"9780813226927"</f>
        <v>9780813226927</v>
      </c>
      <c r="H837" s="2" t="s">
        <v>14</v>
      </c>
      <c r="I837" s="4">
        <v>43594.59652777778</v>
      </c>
      <c r="J837" s="2" t="s">
        <v>5495</v>
      </c>
    </row>
    <row r="838" spans="1:10" ht="150" x14ac:dyDescent="0.25">
      <c r="A838" s="2" t="s">
        <v>51</v>
      </c>
      <c r="B838" s="2">
        <v>986.10299999999995</v>
      </c>
      <c r="C838" s="2" t="s">
        <v>5709</v>
      </c>
      <c r="D838" s="2" t="s">
        <v>5708</v>
      </c>
      <c r="E838" s="2" t="s">
        <v>50</v>
      </c>
      <c r="F838" s="3">
        <v>43252</v>
      </c>
      <c r="G838" s="2" t="str">
        <f>"9781496205834"</f>
        <v>9781496205834</v>
      </c>
      <c r="H838" s="2" t="s">
        <v>14</v>
      </c>
      <c r="I838" s="4">
        <v>43579.609722222223</v>
      </c>
      <c r="J838" s="2" t="s">
        <v>5710</v>
      </c>
    </row>
    <row r="839" spans="1:10" ht="135" x14ac:dyDescent="0.25">
      <c r="A839" s="2" t="s">
        <v>51</v>
      </c>
      <c r="B839" s="2">
        <v>972.9</v>
      </c>
      <c r="C839" s="2" t="s">
        <v>9696</v>
      </c>
      <c r="D839" s="2" t="s">
        <v>9695</v>
      </c>
      <c r="E839" s="2" t="s">
        <v>130</v>
      </c>
      <c r="F839" s="3">
        <v>42633</v>
      </c>
      <c r="G839" s="2" t="str">
        <f>"9781683400127"</f>
        <v>9781683400127</v>
      </c>
      <c r="H839" s="2" t="s">
        <v>14</v>
      </c>
      <c r="I839" s="4">
        <v>43136.411111111112</v>
      </c>
      <c r="J839" s="2" t="s">
        <v>9697</v>
      </c>
    </row>
    <row r="840" spans="1:10" ht="135" x14ac:dyDescent="0.25">
      <c r="A840" s="2" t="s">
        <v>51</v>
      </c>
      <c r="B840" s="2">
        <v>972.91</v>
      </c>
      <c r="C840" s="2" t="s">
        <v>5601</v>
      </c>
      <c r="D840" s="2" t="s">
        <v>5600</v>
      </c>
      <c r="E840" s="2" t="s">
        <v>130</v>
      </c>
      <c r="F840" s="3">
        <v>43116</v>
      </c>
      <c r="G840" s="2" t="str">
        <f>"9780813052175"</f>
        <v>9780813052175</v>
      </c>
      <c r="H840" s="2" t="s">
        <v>14</v>
      </c>
      <c r="I840" s="4">
        <v>43586.55</v>
      </c>
      <c r="J840" s="2" t="s">
        <v>5602</v>
      </c>
    </row>
    <row r="841" spans="1:10" ht="135" x14ac:dyDescent="0.25">
      <c r="A841" s="2" t="s">
        <v>51</v>
      </c>
      <c r="B841" s="2">
        <v>973.92092000000002</v>
      </c>
      <c r="C841" s="2" t="s">
        <v>2222</v>
      </c>
      <c r="D841" s="2" t="s">
        <v>2221</v>
      </c>
      <c r="E841" s="2" t="s">
        <v>397</v>
      </c>
      <c r="F841" s="3">
        <v>43200</v>
      </c>
      <c r="G841" s="2" t="str">
        <f>"9780822983347"</f>
        <v>9780822983347</v>
      </c>
      <c r="H841" s="2" t="s">
        <v>14</v>
      </c>
      <c r="I841" s="4">
        <v>43900.508333333331</v>
      </c>
      <c r="J841" s="2" t="s">
        <v>2223</v>
      </c>
    </row>
    <row r="842" spans="1:10" ht="135" x14ac:dyDescent="0.25">
      <c r="A842" s="2" t="s">
        <v>51</v>
      </c>
      <c r="B842" s="2" t="s">
        <v>1920</v>
      </c>
      <c r="C842" s="2" t="s">
        <v>1921</v>
      </c>
      <c r="D842" s="2" t="s">
        <v>1919</v>
      </c>
      <c r="E842" s="2" t="s">
        <v>58</v>
      </c>
      <c r="F842" s="3">
        <v>40680</v>
      </c>
      <c r="G842" s="2" t="str">
        <f>"9780299281434"</f>
        <v>9780299281434</v>
      </c>
      <c r="H842" s="2" t="s">
        <v>14</v>
      </c>
      <c r="I842" s="4">
        <v>43921.396527777775</v>
      </c>
      <c r="J842" s="2" t="s">
        <v>1922</v>
      </c>
    </row>
    <row r="843" spans="1:10" ht="150" x14ac:dyDescent="0.25">
      <c r="A843" s="2" t="s">
        <v>51</v>
      </c>
      <c r="B843" s="2">
        <v>973.70899607299998</v>
      </c>
      <c r="C843" s="2" t="s">
        <v>6987</v>
      </c>
      <c r="D843" s="2" t="s">
        <v>6986</v>
      </c>
      <c r="E843" s="2" t="s">
        <v>455</v>
      </c>
      <c r="F843" s="3">
        <v>42657</v>
      </c>
      <c r="G843" s="2" t="str">
        <f>"9781631012280"</f>
        <v>9781631012280</v>
      </c>
      <c r="H843" s="2" t="s">
        <v>14</v>
      </c>
      <c r="I843" s="4">
        <v>43468.634027777778</v>
      </c>
      <c r="J843" s="2" t="s">
        <v>6988</v>
      </c>
    </row>
    <row r="844" spans="1:10" ht="165" x14ac:dyDescent="0.25">
      <c r="A844" s="2" t="s">
        <v>51</v>
      </c>
      <c r="B844" s="2" t="s">
        <v>10056</v>
      </c>
      <c r="C844" s="2" t="s">
        <v>10057</v>
      </c>
      <c r="D844" s="2" t="s">
        <v>10055</v>
      </c>
      <c r="E844" s="2" t="s">
        <v>526</v>
      </c>
      <c r="F844" s="3">
        <v>41668</v>
      </c>
      <c r="G844" s="2" t="str">
        <f>"9780292753853"</f>
        <v>9780292753853</v>
      </c>
      <c r="H844" s="2" t="s">
        <v>14</v>
      </c>
      <c r="I844" s="4">
        <v>43106.797222222223</v>
      </c>
      <c r="J844" s="2" t="s">
        <v>10058</v>
      </c>
    </row>
    <row r="845" spans="1:10" ht="135" x14ac:dyDescent="0.25">
      <c r="A845" s="2" t="s">
        <v>51</v>
      </c>
      <c r="B845" s="2" t="s">
        <v>6065</v>
      </c>
      <c r="C845" s="2" t="s">
        <v>6066</v>
      </c>
      <c r="D845" s="2" t="s">
        <v>6064</v>
      </c>
      <c r="E845" s="2" t="s">
        <v>397</v>
      </c>
      <c r="F845" s="3">
        <v>42654</v>
      </c>
      <c r="G845" s="2" t="str">
        <f>"9780822981473"</f>
        <v>9780822981473</v>
      </c>
      <c r="H845" s="2" t="s">
        <v>14</v>
      </c>
      <c r="I845" s="4">
        <v>43543.463194444441</v>
      </c>
      <c r="J845" s="2" t="s">
        <v>6067</v>
      </c>
    </row>
    <row r="846" spans="1:10" ht="135" x14ac:dyDescent="0.25">
      <c r="A846" s="2" t="s">
        <v>51</v>
      </c>
      <c r="B846" s="2">
        <v>981</v>
      </c>
      <c r="C846" s="2" t="s">
        <v>6788</v>
      </c>
      <c r="D846" s="2" t="s">
        <v>6787</v>
      </c>
      <c r="E846" s="2" t="s">
        <v>164</v>
      </c>
      <c r="F846" s="3">
        <v>41685</v>
      </c>
      <c r="G846" s="2" t="str">
        <f>"9780826338426"</f>
        <v>9780826338426</v>
      </c>
      <c r="H846" s="2" t="s">
        <v>14</v>
      </c>
      <c r="I846" s="4">
        <v>43486.518055555556</v>
      </c>
      <c r="J846" s="2" t="s">
        <v>6789</v>
      </c>
    </row>
    <row r="847" spans="1:10" ht="135" x14ac:dyDescent="0.25">
      <c r="A847" s="2" t="s">
        <v>51</v>
      </c>
      <c r="B847" s="2">
        <v>939.4</v>
      </c>
      <c r="C847" s="2" t="s">
        <v>11147</v>
      </c>
      <c r="D847" s="2" t="s">
        <v>11146</v>
      </c>
      <c r="E847" s="2" t="s">
        <v>2089</v>
      </c>
      <c r="F847" s="3">
        <v>37987</v>
      </c>
      <c r="G847" s="2" t="str">
        <f>"9781575065328"</f>
        <v>9781575065328</v>
      </c>
      <c r="H847" s="2" t="s">
        <v>14</v>
      </c>
      <c r="I847" s="4">
        <v>43013.609722222223</v>
      </c>
      <c r="J847" s="2" t="s">
        <v>11148</v>
      </c>
    </row>
    <row r="848" spans="1:10" ht="135" x14ac:dyDescent="0.25">
      <c r="A848" s="2" t="s">
        <v>51</v>
      </c>
      <c r="B848" s="2">
        <v>962.05600000000004</v>
      </c>
      <c r="C848" s="2" t="s">
        <v>12517</v>
      </c>
      <c r="D848" s="2" t="s">
        <v>12516</v>
      </c>
      <c r="E848" s="2" t="s">
        <v>69</v>
      </c>
      <c r="F848" s="3">
        <v>42639</v>
      </c>
      <c r="G848" s="2" t="str">
        <f>"9780253023315"</f>
        <v>9780253023315</v>
      </c>
      <c r="H848" s="2" t="s">
        <v>14</v>
      </c>
      <c r="I848" s="4">
        <v>42800.708333333336</v>
      </c>
      <c r="J848" s="2" t="s">
        <v>12518</v>
      </c>
    </row>
    <row r="849" spans="1:10" ht="135" x14ac:dyDescent="0.25">
      <c r="A849" s="2" t="s">
        <v>51</v>
      </c>
      <c r="B849" s="2" t="s">
        <v>3710</v>
      </c>
      <c r="C849" s="2" t="s">
        <v>3711</v>
      </c>
      <c r="D849" s="2" t="s">
        <v>3709</v>
      </c>
      <c r="E849" s="2" t="s">
        <v>235</v>
      </c>
      <c r="F849" s="3">
        <v>42205</v>
      </c>
      <c r="G849" s="2" t="str">
        <f>"9781440834097"</f>
        <v>9781440834097</v>
      </c>
      <c r="H849" s="2" t="s">
        <v>14</v>
      </c>
      <c r="I849" s="4">
        <v>43762.625694444447</v>
      </c>
      <c r="J849" s="2" t="s">
        <v>3712</v>
      </c>
    </row>
    <row r="850" spans="1:10" ht="135" x14ac:dyDescent="0.25">
      <c r="A850" s="2" t="s">
        <v>51</v>
      </c>
      <c r="B850" s="2">
        <v>959.9</v>
      </c>
      <c r="C850" s="2" t="s">
        <v>5511</v>
      </c>
      <c r="D850" s="2" t="s">
        <v>5510</v>
      </c>
      <c r="E850" s="2" t="s">
        <v>4925</v>
      </c>
      <c r="F850" s="3">
        <v>42877</v>
      </c>
      <c r="G850" s="2" t="str">
        <f>"9789715507998"</f>
        <v>9789715507998</v>
      </c>
      <c r="H850" s="2" t="s">
        <v>14</v>
      </c>
      <c r="I850" s="4">
        <v>43593.67083333333</v>
      </c>
      <c r="J850" s="2" t="s">
        <v>5512</v>
      </c>
    </row>
    <row r="851" spans="1:10" ht="135" x14ac:dyDescent="0.25">
      <c r="A851" s="2" t="s">
        <v>51</v>
      </c>
      <c r="B851" s="2">
        <v>920.72</v>
      </c>
      <c r="C851" s="2" t="s">
        <v>7486</v>
      </c>
      <c r="D851" s="2" t="s">
        <v>7485</v>
      </c>
      <c r="E851" s="2" t="s">
        <v>54</v>
      </c>
      <c r="F851" s="3">
        <v>43312</v>
      </c>
      <c r="G851" s="2" t="str">
        <f>"9781503606524"</f>
        <v>9781503606524</v>
      </c>
      <c r="H851" s="2" t="s">
        <v>14</v>
      </c>
      <c r="I851" s="4">
        <v>43413.03125</v>
      </c>
      <c r="J851" s="2" t="s">
        <v>7487</v>
      </c>
    </row>
    <row r="852" spans="1:10" ht="135" x14ac:dyDescent="0.25">
      <c r="A852" s="2" t="s">
        <v>51</v>
      </c>
      <c r="B852" s="2">
        <v>963.20399999999995</v>
      </c>
      <c r="C852" s="2" t="s">
        <v>4735</v>
      </c>
      <c r="D852" s="2" t="s">
        <v>4734</v>
      </c>
      <c r="E852" s="2" t="s">
        <v>310</v>
      </c>
      <c r="F852" s="3">
        <v>43335</v>
      </c>
      <c r="G852" s="2" t="str">
        <f>"9780815654315"</f>
        <v>9780815654315</v>
      </c>
      <c r="H852" s="2" t="s">
        <v>14</v>
      </c>
      <c r="I852" s="4">
        <v>43633.602777777778</v>
      </c>
      <c r="J852" s="2" t="s">
        <v>4736</v>
      </c>
    </row>
    <row r="853" spans="1:10" ht="195" x14ac:dyDescent="0.25">
      <c r="A853" s="2" t="s">
        <v>51</v>
      </c>
      <c r="B853" s="2">
        <v>940.14609252000002</v>
      </c>
      <c r="C853" s="2" t="s">
        <v>20</v>
      </c>
      <c r="D853" s="2" t="s">
        <v>2046</v>
      </c>
      <c r="E853" s="2" t="s">
        <v>618</v>
      </c>
      <c r="F853" s="3">
        <v>42783</v>
      </c>
      <c r="G853" s="2" t="str">
        <f>"9781137585141"</f>
        <v>9781137585141</v>
      </c>
      <c r="H853" s="2" t="s">
        <v>14</v>
      </c>
      <c r="I853" s="4">
        <v>43916.534722222219</v>
      </c>
      <c r="J853" s="2" t="s">
        <v>2047</v>
      </c>
    </row>
    <row r="854" spans="1:10" ht="135" x14ac:dyDescent="0.25">
      <c r="A854" s="2" t="s">
        <v>51</v>
      </c>
      <c r="B854" s="2" t="s">
        <v>6655</v>
      </c>
      <c r="C854" s="2" t="s">
        <v>6656</v>
      </c>
      <c r="D854" s="2" t="s">
        <v>6654</v>
      </c>
      <c r="E854" s="2" t="s">
        <v>322</v>
      </c>
      <c r="F854" s="3">
        <v>42078</v>
      </c>
      <c r="G854" s="2" t="str">
        <f>"9780820343334"</f>
        <v>9780820343334</v>
      </c>
      <c r="H854" s="2" t="s">
        <v>14</v>
      </c>
      <c r="I854" s="4">
        <v>43499.731249999997</v>
      </c>
      <c r="J854" s="2" t="s">
        <v>6657</v>
      </c>
    </row>
    <row r="855" spans="1:10" ht="135" x14ac:dyDescent="0.25">
      <c r="A855" s="2" t="s">
        <v>51</v>
      </c>
      <c r="B855" s="2" t="s">
        <v>2494</v>
      </c>
      <c r="C855" s="2" t="s">
        <v>2495</v>
      </c>
      <c r="D855" s="2" t="s">
        <v>2493</v>
      </c>
      <c r="E855" s="2" t="s">
        <v>627</v>
      </c>
      <c r="F855" s="3">
        <v>41122</v>
      </c>
      <c r="G855" s="2" t="str">
        <f>"9786155053672"</f>
        <v>9786155053672</v>
      </c>
      <c r="H855" s="2" t="s">
        <v>14</v>
      </c>
      <c r="I855" s="4">
        <v>43881.587500000001</v>
      </c>
      <c r="J855" s="2" t="s">
        <v>2496</v>
      </c>
    </row>
    <row r="856" spans="1:10" ht="135" x14ac:dyDescent="0.25">
      <c r="A856" s="2" t="s">
        <v>51</v>
      </c>
      <c r="B856" s="2" t="s">
        <v>12383</v>
      </c>
      <c r="C856" s="2" t="s">
        <v>12384</v>
      </c>
      <c r="D856" s="2" t="s">
        <v>12382</v>
      </c>
      <c r="E856" s="2" t="s">
        <v>121</v>
      </c>
      <c r="F856" s="3">
        <v>42430</v>
      </c>
      <c r="G856" s="2" t="str">
        <f>"9781609174781"</f>
        <v>9781609174781</v>
      </c>
      <c r="H856" s="2" t="s">
        <v>14</v>
      </c>
      <c r="I856" s="4">
        <v>42812.072916666664</v>
      </c>
      <c r="J856" s="2" t="s">
        <v>12385</v>
      </c>
    </row>
    <row r="857" spans="1:10" ht="135" x14ac:dyDescent="0.25">
      <c r="A857" s="2" t="s">
        <v>51</v>
      </c>
      <c r="B857" s="2" t="s">
        <v>9479</v>
      </c>
      <c r="C857" s="2" t="s">
        <v>9480</v>
      </c>
      <c r="D857" s="2" t="s">
        <v>9478</v>
      </c>
      <c r="E857" s="2" t="s">
        <v>526</v>
      </c>
      <c r="F857" s="3">
        <v>29068</v>
      </c>
      <c r="G857" s="2" t="str">
        <f>"9781477308028"</f>
        <v>9781477308028</v>
      </c>
      <c r="H857" s="2" t="s">
        <v>14</v>
      </c>
      <c r="I857" s="4">
        <v>43162.727083333331</v>
      </c>
      <c r="J857" s="2" t="s">
        <v>9481</v>
      </c>
    </row>
    <row r="858" spans="1:10" ht="135" x14ac:dyDescent="0.25">
      <c r="A858" s="2" t="s">
        <v>51</v>
      </c>
      <c r="B858" s="2">
        <v>973.3</v>
      </c>
      <c r="C858" s="2" t="s">
        <v>11311</v>
      </c>
      <c r="D858" s="2" t="s">
        <v>11310</v>
      </c>
      <c r="E858" s="2" t="s">
        <v>156</v>
      </c>
      <c r="F858" s="3">
        <v>40848</v>
      </c>
      <c r="G858" s="2" t="str">
        <f>"9781469611365"</f>
        <v>9781469611365</v>
      </c>
      <c r="H858" s="2" t="s">
        <v>14</v>
      </c>
      <c r="I858" s="4">
        <v>42990.777083333334</v>
      </c>
      <c r="J858" s="2" t="s">
        <v>11312</v>
      </c>
    </row>
    <row r="859" spans="1:10" ht="135" x14ac:dyDescent="0.25">
      <c r="A859" s="2" t="s">
        <v>51</v>
      </c>
      <c r="B859" s="2">
        <v>956.94055000000003</v>
      </c>
      <c r="C859" s="2" t="s">
        <v>3020</v>
      </c>
      <c r="D859" s="2" t="s">
        <v>3019</v>
      </c>
      <c r="E859" s="2" t="s">
        <v>69</v>
      </c>
      <c r="F859" s="3">
        <v>42793</v>
      </c>
      <c r="G859" s="2" t="str">
        <f>"9780253027191"</f>
        <v>9780253027191</v>
      </c>
      <c r="H859" s="2" t="s">
        <v>14</v>
      </c>
      <c r="I859" s="4">
        <v>43832.671527777777</v>
      </c>
      <c r="J859" s="2" t="s">
        <v>3021</v>
      </c>
    </row>
    <row r="860" spans="1:10" ht="135" x14ac:dyDescent="0.25">
      <c r="A860" s="2" t="s">
        <v>51</v>
      </c>
      <c r="B860" s="2" t="s">
        <v>7365</v>
      </c>
      <c r="C860" s="2" t="s">
        <v>7366</v>
      </c>
      <c r="D860" s="2" t="s">
        <v>7364</v>
      </c>
      <c r="E860" s="2" t="s">
        <v>11</v>
      </c>
      <c r="F860" s="3">
        <v>41589</v>
      </c>
      <c r="G860" s="2" t="str">
        <f>"9780813221830"</f>
        <v>9780813221830</v>
      </c>
      <c r="H860" s="2" t="s">
        <v>14</v>
      </c>
      <c r="I860" s="4">
        <v>43422.948611111111</v>
      </c>
      <c r="J860" s="2" t="s">
        <v>7367</v>
      </c>
    </row>
    <row r="861" spans="1:10" ht="135" x14ac:dyDescent="0.25">
      <c r="A861" s="2" t="s">
        <v>51</v>
      </c>
      <c r="D861" s="2" t="s">
        <v>7904</v>
      </c>
      <c r="E861" s="2" t="s">
        <v>846</v>
      </c>
      <c r="F861" s="3">
        <v>43235</v>
      </c>
      <c r="G861" s="2" t="str">
        <f>"9781442634237"</f>
        <v>9781442634237</v>
      </c>
      <c r="H861" s="2" t="s">
        <v>14</v>
      </c>
      <c r="I861" s="4">
        <v>43378.456250000003</v>
      </c>
      <c r="J861" s="2" t="s">
        <v>7905</v>
      </c>
    </row>
    <row r="862" spans="1:10" ht="135" x14ac:dyDescent="0.25">
      <c r="A862" s="2" t="s">
        <v>51</v>
      </c>
      <c r="B862" s="2">
        <v>951.93039999999996</v>
      </c>
      <c r="C862" s="2" t="s">
        <v>8779</v>
      </c>
      <c r="D862" s="2" t="s">
        <v>8778</v>
      </c>
      <c r="E862" s="2" t="s">
        <v>6704</v>
      </c>
      <c r="F862" s="3">
        <v>41493</v>
      </c>
      <c r="G862" s="2" t="str">
        <f>"9780801469367"</f>
        <v>9780801469367</v>
      </c>
      <c r="H862" s="2" t="s">
        <v>14</v>
      </c>
      <c r="I862" s="4">
        <v>43252.790972222225</v>
      </c>
      <c r="J862" s="2" t="s">
        <v>8780</v>
      </c>
    </row>
    <row r="863" spans="1:10" ht="135" x14ac:dyDescent="0.25">
      <c r="A863" s="2" t="s">
        <v>51</v>
      </c>
      <c r="B863" s="2">
        <v>940.54009199999996</v>
      </c>
      <c r="C863" s="2" t="s">
        <v>2478</v>
      </c>
      <c r="D863" s="2" t="s">
        <v>2476</v>
      </c>
      <c r="E863" s="2" t="s">
        <v>2477</v>
      </c>
      <c r="F863" s="3">
        <v>42204</v>
      </c>
      <c r="G863" s="2" t="str">
        <f>"9781612002989"</f>
        <v>9781612002989</v>
      </c>
      <c r="H863" s="2" t="s">
        <v>14</v>
      </c>
      <c r="I863" s="4">
        <v>43882.642361111109</v>
      </c>
      <c r="J863" s="2" t="s">
        <v>2479</v>
      </c>
    </row>
    <row r="864" spans="1:10" ht="135" x14ac:dyDescent="0.25">
      <c r="A864" s="2" t="s">
        <v>51</v>
      </c>
      <c r="B864" s="2">
        <v>956.00720000000001</v>
      </c>
      <c r="C864" s="2" t="s">
        <v>11166</v>
      </c>
      <c r="D864" s="2" t="s">
        <v>11165</v>
      </c>
      <c r="E864" s="2" t="s">
        <v>54</v>
      </c>
      <c r="F864" s="3">
        <v>42459</v>
      </c>
      <c r="G864" s="2" t="str">
        <f>"9780804799584"</f>
        <v>9780804799584</v>
      </c>
      <c r="H864" s="2" t="s">
        <v>14</v>
      </c>
      <c r="I864" s="4">
        <v>43011.59652777778</v>
      </c>
      <c r="J864" s="2" t="s">
        <v>11167</v>
      </c>
    </row>
    <row r="865" spans="1:10" ht="135" x14ac:dyDescent="0.25">
      <c r="A865" s="2" t="s">
        <v>51</v>
      </c>
      <c r="B865" s="2">
        <v>974.03</v>
      </c>
      <c r="C865" s="2" t="s">
        <v>8638</v>
      </c>
      <c r="D865" s="2" t="s">
        <v>8637</v>
      </c>
      <c r="E865" s="2" t="s">
        <v>73</v>
      </c>
      <c r="F865" s="3">
        <v>40308</v>
      </c>
      <c r="G865" s="2" t="str">
        <f>"9780816673674"</f>
        <v>9780816673674</v>
      </c>
      <c r="H865" s="2" t="s">
        <v>14</v>
      </c>
      <c r="I865" s="4">
        <v>43280.815972222219</v>
      </c>
      <c r="J865" s="2" t="s">
        <v>8639</v>
      </c>
    </row>
    <row r="866" spans="1:10" ht="135" x14ac:dyDescent="0.25">
      <c r="A866" s="2" t="s">
        <v>51</v>
      </c>
      <c r="B866" s="2">
        <v>930.10280399999999</v>
      </c>
      <c r="C866" s="2" t="s">
        <v>921</v>
      </c>
      <c r="D866" s="2" t="s">
        <v>920</v>
      </c>
      <c r="E866" s="2" t="s">
        <v>130</v>
      </c>
      <c r="F866" s="3">
        <v>43155</v>
      </c>
      <c r="G866" s="2" t="str">
        <f>"9780813052274"</f>
        <v>9780813052274</v>
      </c>
      <c r="H866" s="2" t="s">
        <v>14</v>
      </c>
      <c r="I866" s="4">
        <v>43975.540277777778</v>
      </c>
      <c r="J866" s="2" t="s">
        <v>922</v>
      </c>
    </row>
    <row r="867" spans="1:10" ht="150" x14ac:dyDescent="0.25">
      <c r="A867" s="2" t="s">
        <v>51</v>
      </c>
      <c r="B867" s="2">
        <v>959.90319999999895</v>
      </c>
      <c r="C867" s="2" t="s">
        <v>3328</v>
      </c>
      <c r="D867" s="2" t="s">
        <v>3327</v>
      </c>
      <c r="E867" s="2" t="s">
        <v>455</v>
      </c>
      <c r="F867" s="3">
        <v>43011</v>
      </c>
      <c r="G867" s="2" t="str">
        <f>"9781631012792"</f>
        <v>9781631012792</v>
      </c>
      <c r="H867" s="2" t="s">
        <v>14</v>
      </c>
      <c r="I867" s="4">
        <v>43789.974305555559</v>
      </c>
      <c r="J867" s="2" t="s">
        <v>3329</v>
      </c>
    </row>
    <row r="868" spans="1:10" ht="135" x14ac:dyDescent="0.25">
      <c r="A868" s="2" t="s">
        <v>51</v>
      </c>
      <c r="B868" s="2" t="s">
        <v>5004</v>
      </c>
      <c r="C868" s="2" t="s">
        <v>5005</v>
      </c>
      <c r="D868" s="2" t="s">
        <v>5003</v>
      </c>
      <c r="E868" s="2" t="s">
        <v>2504</v>
      </c>
      <c r="F868" s="3">
        <v>42095</v>
      </c>
      <c r="G868" s="2" t="str">
        <f>"9781742247267"</f>
        <v>9781742247267</v>
      </c>
      <c r="H868" s="2" t="s">
        <v>14</v>
      </c>
      <c r="I868" s="4">
        <v>43612.882638888892</v>
      </c>
      <c r="J868" s="2" t="s">
        <v>5006</v>
      </c>
    </row>
    <row r="869" spans="1:10" ht="135" x14ac:dyDescent="0.25">
      <c r="A869" s="2" t="s">
        <v>51</v>
      </c>
      <c r="B869" s="2" t="s">
        <v>6187</v>
      </c>
      <c r="C869" s="2" t="s">
        <v>6188</v>
      </c>
      <c r="D869" s="2" t="s">
        <v>6186</v>
      </c>
      <c r="E869" s="2" t="s">
        <v>58</v>
      </c>
      <c r="F869" s="3">
        <v>41967</v>
      </c>
      <c r="G869" s="2" t="str">
        <f>"9780299302139"</f>
        <v>9780299302139</v>
      </c>
      <c r="H869" s="2" t="s">
        <v>14</v>
      </c>
      <c r="I869" s="4">
        <v>43534.743750000001</v>
      </c>
      <c r="J869" s="2" t="s">
        <v>6189</v>
      </c>
    </row>
    <row r="870" spans="1:10" ht="135" x14ac:dyDescent="0.25">
      <c r="A870" s="2" t="s">
        <v>51</v>
      </c>
      <c r="B870" s="2">
        <v>973.91709200000003</v>
      </c>
      <c r="C870" s="2" t="s">
        <v>4667</v>
      </c>
      <c r="D870" s="2" t="s">
        <v>4666</v>
      </c>
      <c r="E870" s="2" t="s">
        <v>578</v>
      </c>
      <c r="F870" s="3">
        <v>42255</v>
      </c>
      <c r="G870" s="2" t="str">
        <f>"9780252097621"</f>
        <v>9780252097621</v>
      </c>
      <c r="H870" s="2" t="s">
        <v>14</v>
      </c>
      <c r="I870" s="4">
        <v>43639.509027777778</v>
      </c>
      <c r="J870" s="2" t="s">
        <v>4668</v>
      </c>
    </row>
    <row r="871" spans="1:10" ht="180" x14ac:dyDescent="0.25">
      <c r="A871" s="2" t="s">
        <v>51</v>
      </c>
      <c r="B871" s="2">
        <v>972.904</v>
      </c>
      <c r="C871" s="2" t="s">
        <v>11290</v>
      </c>
      <c r="D871" s="2" t="s">
        <v>11289</v>
      </c>
      <c r="E871" s="2" t="s">
        <v>69</v>
      </c>
      <c r="F871" s="3">
        <v>41376</v>
      </c>
      <c r="G871" s="2" t="str">
        <f>"9780253008107"</f>
        <v>9780253008107</v>
      </c>
      <c r="H871" s="2" t="s">
        <v>14</v>
      </c>
      <c r="I871" s="4">
        <v>42993.622916666667</v>
      </c>
      <c r="J871" s="2" t="s">
        <v>11291</v>
      </c>
    </row>
    <row r="872" spans="1:10" ht="135" x14ac:dyDescent="0.25">
      <c r="A872" s="2" t="s">
        <v>51</v>
      </c>
      <c r="B872" s="2">
        <v>972.96</v>
      </c>
      <c r="C872" s="2" t="s">
        <v>8475</v>
      </c>
      <c r="D872" s="2" t="s">
        <v>8474</v>
      </c>
      <c r="E872" s="2" t="s">
        <v>130</v>
      </c>
      <c r="F872" s="3">
        <v>42850</v>
      </c>
      <c r="G872" s="2" t="str">
        <f>"9780813052823"</f>
        <v>9780813052823</v>
      </c>
      <c r="H872" s="2" t="s">
        <v>14</v>
      </c>
      <c r="I872" s="4">
        <v>43302.683333333334</v>
      </c>
      <c r="J872" s="2" t="s">
        <v>8476</v>
      </c>
    </row>
    <row r="873" spans="1:10" ht="135" x14ac:dyDescent="0.25">
      <c r="A873" s="2" t="s">
        <v>51</v>
      </c>
      <c r="B873" s="2" t="s">
        <v>10351</v>
      </c>
      <c r="C873" s="2" t="s">
        <v>10352</v>
      </c>
      <c r="D873" s="2" t="s">
        <v>10350</v>
      </c>
      <c r="E873" s="2" t="s">
        <v>216</v>
      </c>
      <c r="F873" s="3">
        <v>42309</v>
      </c>
      <c r="G873" s="2" t="str">
        <f>"9781438458120"</f>
        <v>9781438458120</v>
      </c>
      <c r="H873" s="2" t="s">
        <v>14</v>
      </c>
      <c r="I873" s="4">
        <v>43066.427083333336</v>
      </c>
      <c r="J873" s="2" t="s">
        <v>10353</v>
      </c>
    </row>
    <row r="874" spans="1:10" ht="165" x14ac:dyDescent="0.25">
      <c r="A874" s="2" t="s">
        <v>51</v>
      </c>
      <c r="B874" s="2">
        <v>930.15599999999995</v>
      </c>
      <c r="C874" s="2" t="s">
        <v>1178</v>
      </c>
      <c r="D874" s="2" t="s">
        <v>1177</v>
      </c>
      <c r="E874" s="2" t="s">
        <v>561</v>
      </c>
      <c r="F874" s="3">
        <v>43748</v>
      </c>
      <c r="G874" s="2" t="str">
        <f>"9789088907999"</f>
        <v>9789088907999</v>
      </c>
      <c r="H874" s="2" t="s">
        <v>14</v>
      </c>
      <c r="I874" s="4">
        <v>43957.84652777778</v>
      </c>
      <c r="J874" s="2" t="s">
        <v>1179</v>
      </c>
    </row>
    <row r="875" spans="1:10" ht="135" x14ac:dyDescent="0.25">
      <c r="A875" s="2" t="s">
        <v>51</v>
      </c>
      <c r="B875" s="2" t="s">
        <v>6384</v>
      </c>
      <c r="C875" s="2" t="s">
        <v>6385</v>
      </c>
      <c r="D875" s="2" t="s">
        <v>6383</v>
      </c>
      <c r="E875" s="2" t="s">
        <v>2089</v>
      </c>
      <c r="F875" s="3">
        <v>41974</v>
      </c>
      <c r="G875" s="2" t="str">
        <f>"9781575063768"</f>
        <v>9781575063768</v>
      </c>
      <c r="H875" s="2" t="s">
        <v>14</v>
      </c>
      <c r="I875" s="4">
        <v>43521.447916666664</v>
      </c>
      <c r="J875" s="2" t="s">
        <v>6386</v>
      </c>
    </row>
    <row r="876" spans="1:10" ht="135" x14ac:dyDescent="0.25">
      <c r="A876" s="2" t="s">
        <v>51</v>
      </c>
      <c r="B876" s="2">
        <v>976</v>
      </c>
      <c r="D876" s="2" t="s">
        <v>5790</v>
      </c>
      <c r="E876" s="2" t="s">
        <v>2508</v>
      </c>
      <c r="F876" s="3">
        <v>43313</v>
      </c>
      <c r="G876" s="2" t="str">
        <f>"9781469640495"</f>
        <v>9781469640495</v>
      </c>
      <c r="H876" s="2" t="s">
        <v>14</v>
      </c>
      <c r="I876" s="4">
        <v>43571.533333333333</v>
      </c>
      <c r="J876" s="2" t="s">
        <v>5791</v>
      </c>
    </row>
    <row r="877" spans="1:10" ht="135" x14ac:dyDescent="0.25">
      <c r="A877" s="2" t="s">
        <v>51</v>
      </c>
      <c r="B877" s="2" t="s">
        <v>7236</v>
      </c>
      <c r="C877" s="2" t="s">
        <v>7237</v>
      </c>
      <c r="D877" s="2" t="s">
        <v>7235</v>
      </c>
      <c r="E877" s="2" t="s">
        <v>130</v>
      </c>
      <c r="F877" s="3">
        <v>43361</v>
      </c>
      <c r="G877" s="2" t="str">
        <f>"9780813052397"</f>
        <v>9780813052397</v>
      </c>
      <c r="H877" s="2" t="s">
        <v>14</v>
      </c>
      <c r="I877" s="4">
        <v>43431.570138888892</v>
      </c>
      <c r="J877" s="2" t="s">
        <v>7238</v>
      </c>
    </row>
    <row r="878" spans="1:10" ht="135" x14ac:dyDescent="0.25">
      <c r="A878" s="2" t="s">
        <v>51</v>
      </c>
      <c r="B878" s="2">
        <v>973.2</v>
      </c>
      <c r="C878" s="2" t="s">
        <v>11536</v>
      </c>
      <c r="D878" s="2" t="s">
        <v>11535</v>
      </c>
      <c r="E878" s="2" t="s">
        <v>4660</v>
      </c>
      <c r="F878" s="3">
        <v>41827</v>
      </c>
      <c r="G878" s="2" t="str">
        <f>"9780813164823"</f>
        <v>9780813164823</v>
      </c>
      <c r="H878" s="2" t="s">
        <v>14</v>
      </c>
      <c r="I878" s="4">
        <v>42936.396527777775</v>
      </c>
      <c r="J878" s="2" t="s">
        <v>11537</v>
      </c>
    </row>
    <row r="879" spans="1:10" ht="135" x14ac:dyDescent="0.25">
      <c r="A879" s="2" t="s">
        <v>51</v>
      </c>
      <c r="B879" s="2">
        <v>943.08299999999997</v>
      </c>
      <c r="C879" s="2" t="s">
        <v>5703</v>
      </c>
      <c r="D879" s="2" t="s">
        <v>5702</v>
      </c>
      <c r="E879" s="2" t="s">
        <v>846</v>
      </c>
      <c r="F879" s="3">
        <v>42185</v>
      </c>
      <c r="G879" s="2" t="str">
        <f>"9781442624092"</f>
        <v>9781442624092</v>
      </c>
      <c r="H879" s="2" t="s">
        <v>14</v>
      </c>
      <c r="I879" s="4">
        <v>43579.643750000003</v>
      </c>
      <c r="J879" s="2" t="s">
        <v>5704</v>
      </c>
    </row>
    <row r="880" spans="1:10" ht="135" x14ac:dyDescent="0.25">
      <c r="A880" s="2" t="s">
        <v>51</v>
      </c>
      <c r="B880" s="2" t="s">
        <v>4565</v>
      </c>
      <c r="C880" s="2" t="s">
        <v>4566</v>
      </c>
      <c r="D880" s="2" t="s">
        <v>4564</v>
      </c>
      <c r="E880" s="2" t="s">
        <v>390</v>
      </c>
      <c r="F880" s="3">
        <v>43250</v>
      </c>
      <c r="G880" s="2" t="str">
        <f>"9780268103873"</f>
        <v>9780268103873</v>
      </c>
      <c r="H880" s="2" t="s">
        <v>14</v>
      </c>
      <c r="I880" s="4">
        <v>43647.9375</v>
      </c>
      <c r="J880" s="2" t="s">
        <v>4567</v>
      </c>
    </row>
    <row r="881" spans="1:10" ht="135" x14ac:dyDescent="0.25">
      <c r="A881" s="2" t="s">
        <v>51</v>
      </c>
      <c r="B881" s="2">
        <v>945.51070923999998</v>
      </c>
      <c r="C881" s="2" t="s">
        <v>7453</v>
      </c>
      <c r="D881" s="2" t="s">
        <v>7452</v>
      </c>
      <c r="E881" s="2" t="s">
        <v>460</v>
      </c>
      <c r="F881" s="3">
        <v>43203</v>
      </c>
      <c r="G881" s="2" t="str">
        <f>"9780773553682"</f>
        <v>9780773553682</v>
      </c>
      <c r="H881" s="2" t="s">
        <v>14</v>
      </c>
      <c r="I881" s="4">
        <v>43415.677083333336</v>
      </c>
      <c r="J881" s="2" t="s">
        <v>7454</v>
      </c>
    </row>
    <row r="882" spans="1:10" ht="135" x14ac:dyDescent="0.25">
      <c r="A882" s="2" t="s">
        <v>51</v>
      </c>
      <c r="B882" s="2">
        <v>964.04</v>
      </c>
      <c r="C882" s="2" t="s">
        <v>4475</v>
      </c>
      <c r="D882" s="2" t="s">
        <v>4474</v>
      </c>
      <c r="E882" s="2" t="s">
        <v>54</v>
      </c>
      <c r="F882" s="3">
        <v>43599</v>
      </c>
      <c r="G882" s="2" t="str">
        <f>"9781503609006"</f>
        <v>9781503609006</v>
      </c>
      <c r="H882" s="2" t="s">
        <v>14</v>
      </c>
      <c r="I882" s="4">
        <v>43662.716666666667</v>
      </c>
      <c r="J882" s="2" t="s">
        <v>4476</v>
      </c>
    </row>
    <row r="883" spans="1:10" ht="135" x14ac:dyDescent="0.25">
      <c r="A883" s="2" t="s">
        <v>51</v>
      </c>
      <c r="B883" s="2" t="s">
        <v>1171</v>
      </c>
      <c r="C883" s="2" t="s">
        <v>1172</v>
      </c>
      <c r="D883" s="2" t="s">
        <v>1170</v>
      </c>
      <c r="E883" s="2" t="s">
        <v>180</v>
      </c>
      <c r="F883" s="3">
        <v>42286</v>
      </c>
      <c r="G883" s="2" t="str">
        <f>"9781479879342"</f>
        <v>9781479879342</v>
      </c>
      <c r="H883" s="2" t="s">
        <v>14</v>
      </c>
      <c r="I883" s="4">
        <v>43957.912499999999</v>
      </c>
      <c r="J883" s="2" t="s">
        <v>1173</v>
      </c>
    </row>
    <row r="884" spans="1:10" ht="135" x14ac:dyDescent="0.25">
      <c r="A884" s="2" t="s">
        <v>51</v>
      </c>
      <c r="B884" s="2">
        <v>936</v>
      </c>
      <c r="C884" s="2" t="s">
        <v>924</v>
      </c>
      <c r="D884" s="2" t="s">
        <v>923</v>
      </c>
      <c r="E884" s="2" t="s">
        <v>561</v>
      </c>
      <c r="F884" s="3">
        <v>43665</v>
      </c>
      <c r="G884" s="2" t="str">
        <f>"9789088907852"</f>
        <v>9789088907852</v>
      </c>
      <c r="H884" s="2" t="s">
        <v>14</v>
      </c>
      <c r="I884" s="4">
        <v>43975.400694444441</v>
      </c>
      <c r="J884" s="2" t="s">
        <v>925</v>
      </c>
    </row>
    <row r="885" spans="1:10" ht="135" x14ac:dyDescent="0.25">
      <c r="A885" s="2" t="s">
        <v>51</v>
      </c>
      <c r="B885" s="2" t="s">
        <v>9430</v>
      </c>
      <c r="C885" s="2" t="s">
        <v>9431</v>
      </c>
      <c r="D885" s="2" t="s">
        <v>9429</v>
      </c>
      <c r="E885" s="2" t="s">
        <v>156</v>
      </c>
      <c r="F885" s="3">
        <v>42303</v>
      </c>
      <c r="G885" s="2" t="str">
        <f>"9781469625645"</f>
        <v>9781469625645</v>
      </c>
      <c r="H885" s="2" t="s">
        <v>14</v>
      </c>
      <c r="I885" s="4">
        <v>43167.623611111114</v>
      </c>
      <c r="J885" s="2" t="s">
        <v>9432</v>
      </c>
    </row>
    <row r="886" spans="1:10" ht="135" x14ac:dyDescent="0.25">
      <c r="A886" s="2" t="s">
        <v>51</v>
      </c>
      <c r="B886" s="2">
        <v>956.04</v>
      </c>
      <c r="C886" s="2" t="s">
        <v>8725</v>
      </c>
      <c r="D886" s="2" t="s">
        <v>8724</v>
      </c>
      <c r="E886" s="2" t="s">
        <v>54</v>
      </c>
      <c r="F886" s="3">
        <v>43235</v>
      </c>
      <c r="G886" s="2" t="str">
        <f>"9781503605817"</f>
        <v>9781503605817</v>
      </c>
      <c r="H886" s="2" t="s">
        <v>14</v>
      </c>
      <c r="I886" s="4">
        <v>43260.588194444441</v>
      </c>
      <c r="J886" s="2" t="s">
        <v>8726</v>
      </c>
    </row>
    <row r="887" spans="1:10" ht="150" x14ac:dyDescent="0.25">
      <c r="A887" s="2" t="s">
        <v>51</v>
      </c>
      <c r="B887" s="2">
        <v>977.10429999999997</v>
      </c>
      <c r="C887" s="2" t="s">
        <v>6902</v>
      </c>
      <c r="D887" s="2" t="s">
        <v>6901</v>
      </c>
      <c r="E887" s="2" t="s">
        <v>105</v>
      </c>
      <c r="F887" s="3">
        <v>42781</v>
      </c>
      <c r="G887" s="2" t="str">
        <f>"9781610756013"</f>
        <v>9781610756013</v>
      </c>
      <c r="H887" s="2" t="s">
        <v>14</v>
      </c>
      <c r="I887" s="4">
        <v>43477.603472222225</v>
      </c>
      <c r="J887" s="2" t="s">
        <v>6903</v>
      </c>
    </row>
    <row r="888" spans="1:10" ht="135" x14ac:dyDescent="0.25">
      <c r="A888" s="2" t="s">
        <v>51</v>
      </c>
      <c r="B888" s="2" t="s">
        <v>7701</v>
      </c>
      <c r="C888" s="2" t="s">
        <v>7702</v>
      </c>
      <c r="D888" s="2" t="s">
        <v>7700</v>
      </c>
      <c r="E888" s="2" t="s">
        <v>156</v>
      </c>
      <c r="F888" s="3">
        <v>43381</v>
      </c>
      <c r="G888" s="2" t="str">
        <f>"9781469636634"</f>
        <v>9781469636634</v>
      </c>
      <c r="H888" s="2" t="s">
        <v>14</v>
      </c>
      <c r="I888" s="4">
        <v>43399.362500000003</v>
      </c>
      <c r="J888" s="2" t="s">
        <v>7703</v>
      </c>
    </row>
    <row r="889" spans="1:10" ht="135" x14ac:dyDescent="0.25">
      <c r="A889" s="2" t="s">
        <v>51</v>
      </c>
      <c r="B889" s="2">
        <v>973.91800000000001</v>
      </c>
      <c r="C889" s="2" t="s">
        <v>10522</v>
      </c>
      <c r="D889" s="2" t="s">
        <v>10521</v>
      </c>
      <c r="E889" s="2" t="s">
        <v>156</v>
      </c>
      <c r="F889" s="3">
        <v>41421</v>
      </c>
      <c r="G889" s="2" t="str">
        <f>"9781469607924"</f>
        <v>9781469607924</v>
      </c>
      <c r="H889" s="2" t="s">
        <v>14</v>
      </c>
      <c r="I889" s="4">
        <v>43052.583333333336</v>
      </c>
      <c r="J889" s="2" t="s">
        <v>10523</v>
      </c>
    </row>
    <row r="890" spans="1:10" ht="180" x14ac:dyDescent="0.25">
      <c r="A890" s="2" t="s">
        <v>51</v>
      </c>
      <c r="B890" s="2" t="s">
        <v>938</v>
      </c>
      <c r="C890" s="2" t="s">
        <v>939</v>
      </c>
      <c r="D890" s="2" t="s">
        <v>937</v>
      </c>
      <c r="E890" s="2" t="s">
        <v>41</v>
      </c>
      <c r="F890" s="3">
        <v>43781</v>
      </c>
      <c r="G890" s="2" t="str">
        <f>"9780817392482"</f>
        <v>9780817392482</v>
      </c>
      <c r="H890" s="2" t="s">
        <v>14</v>
      </c>
      <c r="I890" s="4">
        <v>43974.418055555558</v>
      </c>
      <c r="J890" s="2" t="s">
        <v>940</v>
      </c>
    </row>
    <row r="891" spans="1:10" ht="150" x14ac:dyDescent="0.25">
      <c r="A891" s="2" t="s">
        <v>51</v>
      </c>
      <c r="B891" s="2" t="s">
        <v>9166</v>
      </c>
      <c r="C891" s="2" t="s">
        <v>9167</v>
      </c>
      <c r="D891" s="2" t="s">
        <v>9165</v>
      </c>
      <c r="E891" s="2" t="s">
        <v>1550</v>
      </c>
      <c r="F891" s="3">
        <v>41988</v>
      </c>
      <c r="G891" s="2" t="str">
        <f>"9781611327748"</f>
        <v>9781611327748</v>
      </c>
      <c r="H891" s="2" t="s">
        <v>14</v>
      </c>
      <c r="I891" s="4">
        <v>43204.57708333333</v>
      </c>
      <c r="J891" s="2" t="s">
        <v>9168</v>
      </c>
    </row>
    <row r="892" spans="1:10" ht="135" x14ac:dyDescent="0.25">
      <c r="A892" s="2" t="s">
        <v>51</v>
      </c>
      <c r="B892" s="2" t="s">
        <v>447</v>
      </c>
      <c r="C892" s="2" t="s">
        <v>448</v>
      </c>
      <c r="D892" s="2" t="s">
        <v>446</v>
      </c>
      <c r="E892" s="2" t="s">
        <v>130</v>
      </c>
      <c r="F892" s="3">
        <v>43850</v>
      </c>
      <c r="G892" s="2" t="str">
        <f>"9780813057385"</f>
        <v>9780813057385</v>
      </c>
      <c r="H892" s="2" t="s">
        <v>14</v>
      </c>
      <c r="I892" s="4">
        <v>44022.65625</v>
      </c>
      <c r="J892" s="2" t="s">
        <v>449</v>
      </c>
    </row>
    <row r="893" spans="1:10" ht="135" x14ac:dyDescent="0.25">
      <c r="A893" s="2" t="s">
        <v>51</v>
      </c>
      <c r="B893" s="2">
        <v>944.06</v>
      </c>
      <c r="C893" s="2" t="s">
        <v>7012</v>
      </c>
      <c r="D893" s="2" t="s">
        <v>7011</v>
      </c>
      <c r="E893" s="2" t="s">
        <v>50</v>
      </c>
      <c r="F893" s="3">
        <v>43435</v>
      </c>
      <c r="G893" s="2" t="str">
        <f>"9781496213082"</f>
        <v>9781496213082</v>
      </c>
      <c r="H893" s="2" t="s">
        <v>14</v>
      </c>
      <c r="I893" s="4">
        <v>43465.492361111108</v>
      </c>
      <c r="J893" s="2" t="s">
        <v>7013</v>
      </c>
    </row>
    <row r="894" spans="1:10" ht="135" x14ac:dyDescent="0.25">
      <c r="A894" s="2" t="s">
        <v>51</v>
      </c>
      <c r="B894" s="2">
        <v>940.53179999999895</v>
      </c>
      <c r="C894" s="2" t="s">
        <v>9223</v>
      </c>
      <c r="D894" s="2" t="s">
        <v>9221</v>
      </c>
      <c r="E894" s="2" t="s">
        <v>9222</v>
      </c>
      <c r="F894" s="3">
        <v>42793</v>
      </c>
      <c r="G894" s="2" t="str">
        <f>"9783835340114"</f>
        <v>9783835340114</v>
      </c>
      <c r="H894" s="2" t="s">
        <v>14</v>
      </c>
      <c r="I894" s="4">
        <v>43199.431250000001</v>
      </c>
      <c r="J894" s="2" t="s">
        <v>9224</v>
      </c>
    </row>
    <row r="895" spans="1:10" ht="135" x14ac:dyDescent="0.25">
      <c r="A895" s="2" t="s">
        <v>51</v>
      </c>
      <c r="B895" s="2" t="s">
        <v>8882</v>
      </c>
      <c r="C895" s="2" t="s">
        <v>8883</v>
      </c>
      <c r="D895" s="2" t="s">
        <v>8881</v>
      </c>
      <c r="E895" s="2" t="s">
        <v>54</v>
      </c>
      <c r="F895" s="3">
        <v>42955</v>
      </c>
      <c r="G895" s="2" t="str">
        <f>"9781503602960"</f>
        <v>9781503602960</v>
      </c>
      <c r="H895" s="2" t="s">
        <v>14</v>
      </c>
      <c r="I895" s="4">
        <v>43243.550694444442</v>
      </c>
      <c r="J895" s="2" t="s">
        <v>8884</v>
      </c>
    </row>
    <row r="896" spans="1:10" ht="135" x14ac:dyDescent="0.25">
      <c r="A896" s="2" t="s">
        <v>51</v>
      </c>
      <c r="B896" s="2">
        <v>940.53180720498005</v>
      </c>
      <c r="D896" s="2" t="s">
        <v>7380</v>
      </c>
      <c r="E896" s="2" t="s">
        <v>69</v>
      </c>
      <c r="F896" s="3">
        <v>43124</v>
      </c>
      <c r="G896" s="2" t="str">
        <f>"9780253032744"</f>
        <v>9780253032744</v>
      </c>
      <c r="H896" s="2" t="s">
        <v>14</v>
      </c>
      <c r="I896" s="4">
        <v>43421.581250000003</v>
      </c>
      <c r="J896" s="2" t="s">
        <v>7381</v>
      </c>
    </row>
    <row r="897" spans="1:10" ht="135" x14ac:dyDescent="0.25">
      <c r="A897" s="2" t="s">
        <v>51</v>
      </c>
      <c r="B897" s="2">
        <v>958.10469999999998</v>
      </c>
      <c r="C897" s="2" t="s">
        <v>9920</v>
      </c>
      <c r="D897" s="2" t="s">
        <v>9919</v>
      </c>
      <c r="E897" s="2" t="s">
        <v>69</v>
      </c>
      <c r="F897" s="3">
        <v>42590</v>
      </c>
      <c r="G897" s="2" t="str">
        <f>"9780253023339"</f>
        <v>9780253023339</v>
      </c>
      <c r="H897" s="2" t="s">
        <v>14</v>
      </c>
      <c r="I897" s="4">
        <v>43120.372916666667</v>
      </c>
      <c r="J897" s="2" t="s">
        <v>9921</v>
      </c>
    </row>
    <row r="898" spans="1:10" ht="135" x14ac:dyDescent="0.25">
      <c r="A898" s="2" t="s">
        <v>51</v>
      </c>
      <c r="B898" s="2">
        <v>949.71029999999996</v>
      </c>
      <c r="C898" s="2" t="s">
        <v>12690</v>
      </c>
      <c r="D898" s="2" t="s">
        <v>12689</v>
      </c>
      <c r="E898" s="2" t="s">
        <v>310</v>
      </c>
      <c r="F898" s="3">
        <v>42306</v>
      </c>
      <c r="G898" s="2" t="str">
        <f>"9780815653400"</f>
        <v>9780815653400</v>
      </c>
      <c r="H898" s="2" t="s">
        <v>14</v>
      </c>
      <c r="I898" s="4">
        <v>42782.533333333333</v>
      </c>
      <c r="J898" s="2" t="s">
        <v>12691</v>
      </c>
    </row>
    <row r="899" spans="1:10" ht="135" x14ac:dyDescent="0.25">
      <c r="A899" s="2" t="s">
        <v>51</v>
      </c>
      <c r="B899" s="2" t="s">
        <v>1715</v>
      </c>
      <c r="C899" s="2" t="s">
        <v>1716</v>
      </c>
      <c r="D899" s="2" t="s">
        <v>1714</v>
      </c>
      <c r="E899" s="2" t="s">
        <v>627</v>
      </c>
      <c r="F899" s="3">
        <v>41791</v>
      </c>
      <c r="G899" s="2" t="str">
        <f>"9789633860205"</f>
        <v>9789633860205</v>
      </c>
      <c r="H899" s="2" t="s">
        <v>14</v>
      </c>
      <c r="I899" s="4">
        <v>43930.660416666666</v>
      </c>
      <c r="J899" s="2" t="s">
        <v>1717</v>
      </c>
    </row>
    <row r="900" spans="1:10" ht="135" x14ac:dyDescent="0.25">
      <c r="A900" s="2" t="s">
        <v>51</v>
      </c>
      <c r="B900" s="2" t="s">
        <v>1816</v>
      </c>
      <c r="C900" s="2" t="s">
        <v>1817</v>
      </c>
      <c r="D900" s="2" t="s">
        <v>1815</v>
      </c>
      <c r="E900" s="2" t="s">
        <v>216</v>
      </c>
      <c r="F900" s="3">
        <v>43525</v>
      </c>
      <c r="G900" s="2" t="str">
        <f>"9781438473086"</f>
        <v>9781438473086</v>
      </c>
      <c r="H900" s="2" t="s">
        <v>14</v>
      </c>
      <c r="I900" s="4">
        <v>43925.525000000001</v>
      </c>
      <c r="J900" s="2" t="s">
        <v>1818</v>
      </c>
    </row>
    <row r="901" spans="1:10" ht="135" x14ac:dyDescent="0.25">
      <c r="A901" s="2" t="s">
        <v>51</v>
      </c>
      <c r="C901" s="2" t="s">
        <v>8090</v>
      </c>
      <c r="D901" s="2" t="s">
        <v>8089</v>
      </c>
      <c r="E901" s="2" t="s">
        <v>164</v>
      </c>
      <c r="F901" s="3">
        <v>43070</v>
      </c>
      <c r="G901" s="2" t="str">
        <f>"9780826359230"</f>
        <v>9780826359230</v>
      </c>
      <c r="H901" s="2" t="s">
        <v>14</v>
      </c>
      <c r="I901" s="4">
        <v>43354.386111111111</v>
      </c>
      <c r="J901" s="2" t="s">
        <v>8091</v>
      </c>
    </row>
    <row r="902" spans="1:10" ht="135" x14ac:dyDescent="0.25">
      <c r="A902" s="2" t="s">
        <v>51</v>
      </c>
      <c r="B902" s="2">
        <v>956.94004924056696</v>
      </c>
      <c r="D902" s="2" t="s">
        <v>6770</v>
      </c>
      <c r="E902" s="2" t="s">
        <v>54</v>
      </c>
      <c r="F902" s="3">
        <v>42962</v>
      </c>
      <c r="G902" s="2" t="str">
        <f>"9781503602816"</f>
        <v>9781503602816</v>
      </c>
      <c r="H902" s="2" t="s">
        <v>14</v>
      </c>
      <c r="I902" s="4">
        <v>43488.460416666669</v>
      </c>
      <c r="J902" s="2" t="s">
        <v>6771</v>
      </c>
    </row>
    <row r="903" spans="1:10" ht="135" x14ac:dyDescent="0.25">
      <c r="A903" s="2" t="s">
        <v>51</v>
      </c>
      <c r="B903" s="2" t="s">
        <v>1728</v>
      </c>
      <c r="C903" s="2" t="s">
        <v>5986</v>
      </c>
      <c r="D903" s="2" t="s">
        <v>6819</v>
      </c>
      <c r="E903" s="2" t="s">
        <v>121</v>
      </c>
      <c r="F903" s="3">
        <v>42401</v>
      </c>
      <c r="G903" s="2" t="str">
        <f>"9781609174750"</f>
        <v>9781609174750</v>
      </c>
      <c r="H903" s="2" t="s">
        <v>14</v>
      </c>
      <c r="I903" s="4">
        <v>43483.62777777778</v>
      </c>
      <c r="J903" s="2" t="s">
        <v>6820</v>
      </c>
    </row>
    <row r="904" spans="1:10" ht="135" x14ac:dyDescent="0.25">
      <c r="A904" s="2" t="s">
        <v>51</v>
      </c>
      <c r="B904" s="2">
        <v>956.94054091999999</v>
      </c>
      <c r="C904" s="2" t="s">
        <v>301</v>
      </c>
      <c r="D904" s="2" t="s">
        <v>300</v>
      </c>
      <c r="E904" s="2" t="s">
        <v>268</v>
      </c>
      <c r="F904" s="3">
        <v>43137</v>
      </c>
      <c r="G904" s="2" t="str">
        <f>"9780815731429"</f>
        <v>9780815731429</v>
      </c>
      <c r="H904" s="2" t="s">
        <v>14</v>
      </c>
      <c r="I904" s="4">
        <v>44043.584027777775</v>
      </c>
      <c r="J904" s="2" t="s">
        <v>302</v>
      </c>
    </row>
    <row r="905" spans="1:10" ht="135" x14ac:dyDescent="0.25">
      <c r="A905" s="2" t="s">
        <v>51</v>
      </c>
      <c r="B905" s="2">
        <v>940.53179999999998</v>
      </c>
      <c r="C905" s="2" t="s">
        <v>4558</v>
      </c>
      <c r="D905" s="2" t="s">
        <v>4557</v>
      </c>
      <c r="E905" s="2" t="s">
        <v>23</v>
      </c>
      <c r="F905" s="3">
        <v>43136</v>
      </c>
      <c r="G905" s="2" t="str">
        <f>"9780814343760"</f>
        <v>9780814343760</v>
      </c>
      <c r="H905" s="2" t="s">
        <v>14</v>
      </c>
      <c r="I905" s="4">
        <v>43647.949305555558</v>
      </c>
      <c r="J905" s="2" t="s">
        <v>4559</v>
      </c>
    </row>
    <row r="906" spans="1:10" ht="165" x14ac:dyDescent="0.25">
      <c r="A906" s="2" t="s">
        <v>51</v>
      </c>
      <c r="B906" s="2">
        <v>942.70100000000002</v>
      </c>
      <c r="C906" s="2" t="s">
        <v>12461</v>
      </c>
      <c r="D906" s="2" t="s">
        <v>12460</v>
      </c>
      <c r="E906" s="2" t="s">
        <v>1550</v>
      </c>
      <c r="F906" s="3">
        <v>41992</v>
      </c>
      <c r="G906" s="2" t="str">
        <f>"9781482207590"</f>
        <v>9781482207590</v>
      </c>
      <c r="H906" s="2" t="s">
        <v>14</v>
      </c>
      <c r="I906" s="4">
        <v>42804.44027777778</v>
      </c>
      <c r="J906" s="2" t="s">
        <v>12462</v>
      </c>
    </row>
    <row r="907" spans="1:10" ht="165" x14ac:dyDescent="0.25">
      <c r="A907" s="2" t="s">
        <v>51</v>
      </c>
      <c r="B907" s="2" t="s">
        <v>12867</v>
      </c>
      <c r="C907" s="2" t="s">
        <v>12868</v>
      </c>
      <c r="D907" s="2" t="s">
        <v>12866</v>
      </c>
      <c r="E907" s="2" t="s">
        <v>89</v>
      </c>
      <c r="F907" s="3">
        <v>42248</v>
      </c>
      <c r="G907" s="2" t="str">
        <f>"9781782387824"</f>
        <v>9781782387824</v>
      </c>
      <c r="H907" s="2" t="s">
        <v>14</v>
      </c>
      <c r="I907" s="4">
        <v>42765.144444444442</v>
      </c>
      <c r="J907" s="2" t="s">
        <v>12869</v>
      </c>
    </row>
    <row r="908" spans="1:10" ht="165" x14ac:dyDescent="0.25">
      <c r="A908" s="2" t="s">
        <v>51</v>
      </c>
      <c r="B908" s="2">
        <v>940.53143999999998</v>
      </c>
      <c r="C908" s="2" t="s">
        <v>3978</v>
      </c>
      <c r="D908" s="2" t="s">
        <v>3977</v>
      </c>
      <c r="E908" s="2" t="s">
        <v>846</v>
      </c>
      <c r="F908" s="3">
        <v>43100</v>
      </c>
      <c r="G908" s="2" t="str">
        <f>"9781487515157"</f>
        <v>9781487515157</v>
      </c>
      <c r="H908" s="2" t="s">
        <v>14</v>
      </c>
      <c r="I908" s="4">
        <v>43732.728472222225</v>
      </c>
      <c r="J908" s="2" t="s">
        <v>3979</v>
      </c>
    </row>
    <row r="909" spans="1:10" ht="135" x14ac:dyDescent="0.25">
      <c r="A909" s="2" t="s">
        <v>51</v>
      </c>
      <c r="B909" s="2">
        <v>954.10500000000002</v>
      </c>
      <c r="C909" s="2" t="s">
        <v>2340</v>
      </c>
      <c r="D909" s="2" t="s">
        <v>2339</v>
      </c>
      <c r="E909" s="2" t="s">
        <v>54</v>
      </c>
      <c r="F909" s="3">
        <v>43865</v>
      </c>
      <c r="G909" s="2" t="str">
        <f>"9781503611290"</f>
        <v>9781503611290</v>
      </c>
      <c r="H909" s="2" t="s">
        <v>14</v>
      </c>
      <c r="I909" s="4">
        <v>43892.570833333331</v>
      </c>
      <c r="J909" s="2" t="s">
        <v>2341</v>
      </c>
    </row>
    <row r="910" spans="1:10" ht="135" x14ac:dyDescent="0.25">
      <c r="A910" s="2" t="s">
        <v>51</v>
      </c>
      <c r="B910" s="2">
        <v>959.70410000000004</v>
      </c>
      <c r="C910" s="2" t="s">
        <v>2141</v>
      </c>
      <c r="D910" s="2" t="s">
        <v>2140</v>
      </c>
      <c r="E910" s="2" t="s">
        <v>65</v>
      </c>
      <c r="F910" s="3">
        <v>43321</v>
      </c>
      <c r="G910" s="2" t="str">
        <f>"9780806162591"</f>
        <v>9780806162591</v>
      </c>
      <c r="H910" s="2" t="s">
        <v>14</v>
      </c>
      <c r="I910" s="4">
        <v>43910.750694444447</v>
      </c>
      <c r="J910" s="2" t="s">
        <v>2142</v>
      </c>
    </row>
    <row r="911" spans="1:10" ht="150" x14ac:dyDescent="0.25">
      <c r="A911" s="2" t="s">
        <v>51</v>
      </c>
      <c r="B911" s="2" t="s">
        <v>1728</v>
      </c>
      <c r="C911" s="2" t="s">
        <v>3953</v>
      </c>
      <c r="D911" s="2" t="s">
        <v>3952</v>
      </c>
      <c r="E911" s="2" t="s">
        <v>156</v>
      </c>
      <c r="F911" s="3">
        <v>43577</v>
      </c>
      <c r="G911" s="2" t="str">
        <f>"9781469651408"</f>
        <v>9781469651408</v>
      </c>
      <c r="H911" s="2" t="s">
        <v>14</v>
      </c>
      <c r="I911" s="4">
        <v>43735.587500000001</v>
      </c>
      <c r="J911" s="2" t="s">
        <v>3954</v>
      </c>
    </row>
    <row r="912" spans="1:10" ht="225" x14ac:dyDescent="0.25">
      <c r="A912" s="2" t="s">
        <v>51</v>
      </c>
      <c r="B912" s="2">
        <v>970.00496999999996</v>
      </c>
      <c r="C912" s="2" t="s">
        <v>506</v>
      </c>
      <c r="D912" s="2" t="s">
        <v>505</v>
      </c>
      <c r="E912" s="2" t="s">
        <v>121</v>
      </c>
      <c r="F912" s="3">
        <v>43709</v>
      </c>
      <c r="G912" s="2" t="str">
        <f>"9781609176099"</f>
        <v>9781609176099</v>
      </c>
      <c r="H912" s="2" t="s">
        <v>14</v>
      </c>
      <c r="I912" s="4">
        <v>44017.258333333331</v>
      </c>
      <c r="J912" s="2" t="s">
        <v>507</v>
      </c>
    </row>
    <row r="913" spans="1:10" ht="210" x14ac:dyDescent="0.25">
      <c r="A913" s="2" t="s">
        <v>51</v>
      </c>
      <c r="B913" s="2" t="s">
        <v>1728</v>
      </c>
      <c r="C913" s="2" t="s">
        <v>1729</v>
      </c>
      <c r="D913" s="2" t="s">
        <v>1727</v>
      </c>
      <c r="E913" s="2" t="s">
        <v>65</v>
      </c>
      <c r="F913" s="3">
        <v>43685</v>
      </c>
      <c r="G913" s="2" t="str">
        <f>"9780806165783"</f>
        <v>9780806165783</v>
      </c>
      <c r="H913" s="2" t="s">
        <v>14</v>
      </c>
      <c r="I913" s="4">
        <v>43930.388194444444</v>
      </c>
      <c r="J913" s="2" t="s">
        <v>1730</v>
      </c>
    </row>
    <row r="914" spans="1:10" ht="195" x14ac:dyDescent="0.25">
      <c r="A914" s="2" t="s">
        <v>51</v>
      </c>
      <c r="B914" s="2">
        <v>970.00496999999996</v>
      </c>
      <c r="C914" s="2" t="s">
        <v>1152</v>
      </c>
      <c r="D914" s="2" t="s">
        <v>1151</v>
      </c>
      <c r="E914" s="2" t="s">
        <v>164</v>
      </c>
      <c r="F914" s="3">
        <v>43646</v>
      </c>
      <c r="G914" s="2" t="str">
        <f>"9780826360434"</f>
        <v>9780826360434</v>
      </c>
      <c r="H914" s="2" t="s">
        <v>14</v>
      </c>
      <c r="I914" s="4">
        <v>43959.518055555556</v>
      </c>
      <c r="J914" s="2" t="s">
        <v>1153</v>
      </c>
    </row>
    <row r="915" spans="1:10" ht="135" x14ac:dyDescent="0.25">
      <c r="A915" s="2" t="s">
        <v>51</v>
      </c>
      <c r="B915" s="2">
        <v>970.00496999999905</v>
      </c>
      <c r="C915" s="2" t="s">
        <v>8096</v>
      </c>
      <c r="D915" s="2" t="s">
        <v>8095</v>
      </c>
      <c r="E915" s="2" t="s">
        <v>73</v>
      </c>
      <c r="F915" s="3">
        <v>42675</v>
      </c>
      <c r="G915" s="2" t="str">
        <f>"9781452953182"</f>
        <v>9781452953182</v>
      </c>
      <c r="H915" s="2" t="s">
        <v>14</v>
      </c>
      <c r="I915" s="4">
        <v>43353.656944444447</v>
      </c>
      <c r="J915" s="2" t="s">
        <v>8097</v>
      </c>
    </row>
    <row r="916" spans="1:10" ht="135" x14ac:dyDescent="0.25">
      <c r="A916" s="2" t="s">
        <v>51</v>
      </c>
      <c r="B916" s="2">
        <v>980.01300000000003</v>
      </c>
      <c r="C916" s="2" t="s">
        <v>5187</v>
      </c>
      <c r="D916" s="2" t="s">
        <v>5186</v>
      </c>
      <c r="E916" s="2" t="s">
        <v>195</v>
      </c>
      <c r="F916" s="3">
        <v>43200</v>
      </c>
      <c r="G916" s="2" t="str">
        <f>"9780816538140"</f>
        <v>9780816538140</v>
      </c>
      <c r="H916" s="2" t="s">
        <v>14</v>
      </c>
      <c r="I916" s="4">
        <v>43608.915972222225</v>
      </c>
      <c r="J916" s="2" t="s">
        <v>5188</v>
      </c>
    </row>
    <row r="917" spans="1:10" ht="135" x14ac:dyDescent="0.25">
      <c r="A917" s="2" t="s">
        <v>51</v>
      </c>
      <c r="B917" s="2">
        <v>975.01</v>
      </c>
      <c r="C917" s="2" t="s">
        <v>6680</v>
      </c>
      <c r="D917" s="2" t="s">
        <v>6679</v>
      </c>
      <c r="E917" s="2" t="s">
        <v>130</v>
      </c>
      <c r="F917" s="3">
        <v>43116</v>
      </c>
      <c r="G917" s="2" t="str">
        <f>"9781683400431"</f>
        <v>9781683400431</v>
      </c>
      <c r="H917" s="2" t="s">
        <v>14</v>
      </c>
      <c r="I917" s="4">
        <v>43497.606944444444</v>
      </c>
      <c r="J917" s="2" t="s">
        <v>6681</v>
      </c>
    </row>
    <row r="918" spans="1:10" ht="165" x14ac:dyDescent="0.25">
      <c r="A918" s="2" t="s">
        <v>51</v>
      </c>
      <c r="B918" s="2" t="s">
        <v>7065</v>
      </c>
      <c r="C918" s="2" t="s">
        <v>7066</v>
      </c>
      <c r="D918" s="2" t="s">
        <v>7064</v>
      </c>
      <c r="E918" s="2" t="s">
        <v>2089</v>
      </c>
      <c r="F918" s="3">
        <v>42125</v>
      </c>
      <c r="G918" s="2" t="str">
        <f>"9781575063669"</f>
        <v>9781575063669</v>
      </c>
      <c r="H918" s="2" t="s">
        <v>14</v>
      </c>
      <c r="I918" s="4">
        <v>43453.502083333333</v>
      </c>
      <c r="J918" s="2" t="s">
        <v>7067</v>
      </c>
    </row>
    <row r="919" spans="1:10" ht="165" x14ac:dyDescent="0.25">
      <c r="A919" s="2" t="s">
        <v>51</v>
      </c>
      <c r="B919" s="2">
        <v>996.90200000000004</v>
      </c>
      <c r="C919" s="2" t="s">
        <v>9176</v>
      </c>
      <c r="D919" s="2" t="s">
        <v>9175</v>
      </c>
      <c r="E919" s="2" t="s">
        <v>156</v>
      </c>
      <c r="F919" s="3">
        <v>41722</v>
      </c>
      <c r="G919" s="2" t="str">
        <f>"9781469615615"</f>
        <v>9781469615615</v>
      </c>
      <c r="H919" s="2" t="s">
        <v>14</v>
      </c>
      <c r="I919" s="4">
        <v>43203.475694444445</v>
      </c>
      <c r="J919" s="2" t="s">
        <v>9177</v>
      </c>
    </row>
    <row r="920" spans="1:10" ht="135" x14ac:dyDescent="0.25">
      <c r="A920" s="2" t="s">
        <v>51</v>
      </c>
      <c r="B920" s="2">
        <v>972.94</v>
      </c>
      <c r="C920" s="2" t="s">
        <v>860</v>
      </c>
      <c r="D920" s="2" t="s">
        <v>859</v>
      </c>
      <c r="E920" s="2" t="s">
        <v>130</v>
      </c>
      <c r="F920" s="3">
        <v>42829</v>
      </c>
      <c r="G920" s="2" t="str">
        <f>"9780813052717"</f>
        <v>9780813052717</v>
      </c>
      <c r="H920" s="2" t="s">
        <v>14</v>
      </c>
      <c r="I920" s="4">
        <v>43979.482638888891</v>
      </c>
      <c r="J920" s="2" t="s">
        <v>861</v>
      </c>
    </row>
    <row r="921" spans="1:10" ht="135" x14ac:dyDescent="0.25">
      <c r="A921" s="2" t="s">
        <v>51</v>
      </c>
      <c r="B921" s="2">
        <v>947.043092</v>
      </c>
      <c r="C921" s="2" t="s">
        <v>1496</v>
      </c>
      <c r="D921" s="2" t="s">
        <v>1495</v>
      </c>
      <c r="E921" s="2" t="s">
        <v>397</v>
      </c>
      <c r="F921" s="3">
        <v>43746</v>
      </c>
      <c r="G921" s="2" t="str">
        <f>"9780822987222"</f>
        <v>9780822987222</v>
      </c>
      <c r="H921" s="2" t="s">
        <v>14</v>
      </c>
      <c r="I921" s="4">
        <v>43941.459722222222</v>
      </c>
      <c r="J921" s="2" t="s">
        <v>1497</v>
      </c>
    </row>
    <row r="922" spans="1:10" ht="135" x14ac:dyDescent="0.25">
      <c r="A922" s="2" t="s">
        <v>51</v>
      </c>
      <c r="B922" s="2">
        <v>973.51092000000006</v>
      </c>
      <c r="C922" s="2" t="s">
        <v>7105</v>
      </c>
      <c r="D922" s="2" t="s">
        <v>7104</v>
      </c>
      <c r="E922" s="2" t="s">
        <v>156</v>
      </c>
      <c r="F922" s="3">
        <v>42401</v>
      </c>
      <c r="G922" s="2" t="str">
        <f>"9781469601878"</f>
        <v>9781469601878</v>
      </c>
      <c r="H922" s="2" t="s">
        <v>14</v>
      </c>
      <c r="I922" s="4">
        <v>43446.933333333334</v>
      </c>
      <c r="J922" s="2" t="s">
        <v>7106</v>
      </c>
    </row>
    <row r="923" spans="1:10" ht="135" x14ac:dyDescent="0.25">
      <c r="A923" s="2" t="s">
        <v>51</v>
      </c>
      <c r="B923" s="2" t="s">
        <v>8801</v>
      </c>
      <c r="C923" s="2" t="s">
        <v>8802</v>
      </c>
      <c r="D923" s="2" t="s">
        <v>8800</v>
      </c>
      <c r="E923" s="2" t="s">
        <v>310</v>
      </c>
      <c r="F923" s="3">
        <v>41802</v>
      </c>
      <c r="G923" s="2" t="str">
        <f>"9780815652526"</f>
        <v>9780815652526</v>
      </c>
      <c r="H923" s="2" t="s">
        <v>14</v>
      </c>
      <c r="I923" s="4">
        <v>43251.375</v>
      </c>
      <c r="J923" s="2" t="s">
        <v>8803</v>
      </c>
    </row>
    <row r="924" spans="1:10" ht="135" x14ac:dyDescent="0.25">
      <c r="A924" s="2" t="s">
        <v>51</v>
      </c>
      <c r="B924" s="2">
        <v>973.71140000000003</v>
      </c>
      <c r="C924" s="2" t="s">
        <v>5888</v>
      </c>
      <c r="D924" s="2" t="s">
        <v>5887</v>
      </c>
      <c r="E924" s="2" t="s">
        <v>156</v>
      </c>
      <c r="F924" s="3">
        <v>41671</v>
      </c>
      <c r="G924" s="2" t="str">
        <f>"9781469602608"</f>
        <v>9781469602608</v>
      </c>
      <c r="H924" s="2" t="s">
        <v>14</v>
      </c>
      <c r="I924" s="4">
        <v>43562.455555555556</v>
      </c>
      <c r="J924" s="2" t="s">
        <v>5889</v>
      </c>
    </row>
    <row r="925" spans="1:10" ht="225" x14ac:dyDescent="0.25">
      <c r="A925" s="2" t="s">
        <v>51</v>
      </c>
      <c r="B925" s="2">
        <v>973.30290000000002</v>
      </c>
      <c r="C925" s="2" t="s">
        <v>9437</v>
      </c>
      <c r="D925" s="2" t="s">
        <v>9436</v>
      </c>
      <c r="E925" s="2" t="s">
        <v>156</v>
      </c>
      <c r="F925" s="3">
        <v>42751</v>
      </c>
      <c r="G925" s="2" t="str">
        <f>"9781469628202"</f>
        <v>9781469628202</v>
      </c>
      <c r="H925" s="2" t="s">
        <v>14</v>
      </c>
      <c r="I925" s="4">
        <v>43167.534722222219</v>
      </c>
      <c r="J925" s="2" t="s">
        <v>9438</v>
      </c>
    </row>
    <row r="926" spans="1:10" ht="135" x14ac:dyDescent="0.25">
      <c r="A926" s="2" t="s">
        <v>51</v>
      </c>
      <c r="B926" s="2">
        <v>967.80410919999997</v>
      </c>
      <c r="C926" s="2" t="s">
        <v>8402</v>
      </c>
      <c r="D926" s="2" t="s">
        <v>8401</v>
      </c>
      <c r="E926" s="2" t="s">
        <v>256</v>
      </c>
      <c r="F926" s="3">
        <v>42885</v>
      </c>
      <c r="G926" s="2" t="str">
        <f>"9780821445969"</f>
        <v>9780821445969</v>
      </c>
      <c r="H926" s="2" t="s">
        <v>14</v>
      </c>
      <c r="I926" s="4">
        <v>43312.714583333334</v>
      </c>
      <c r="J926" s="2" t="s">
        <v>8403</v>
      </c>
    </row>
    <row r="927" spans="1:10" ht="150" x14ac:dyDescent="0.25">
      <c r="A927" s="2" t="s">
        <v>51</v>
      </c>
      <c r="B927" s="2">
        <v>973.3</v>
      </c>
      <c r="C927" s="2" t="s">
        <v>5607</v>
      </c>
      <c r="D927" s="2" t="s">
        <v>5606</v>
      </c>
      <c r="E927" s="2" t="s">
        <v>65</v>
      </c>
      <c r="F927" s="3">
        <v>43265</v>
      </c>
      <c r="G927" s="2" t="str">
        <f>"9780806161341"</f>
        <v>9780806161341</v>
      </c>
      <c r="H927" s="2" t="s">
        <v>14</v>
      </c>
      <c r="I927" s="4">
        <v>43586.53125</v>
      </c>
      <c r="J927" s="2" t="s">
        <v>5608</v>
      </c>
    </row>
    <row r="928" spans="1:10" ht="135" x14ac:dyDescent="0.25">
      <c r="A928" s="2" t="s">
        <v>51</v>
      </c>
      <c r="B928" s="2">
        <v>973.70820000000003</v>
      </c>
      <c r="C928" s="2" t="s">
        <v>4503</v>
      </c>
      <c r="D928" s="2" t="s">
        <v>4502</v>
      </c>
      <c r="E928" s="2" t="s">
        <v>156</v>
      </c>
      <c r="F928" s="3">
        <v>43227</v>
      </c>
      <c r="G928" s="2" t="str">
        <f>"9781469640983"</f>
        <v>9781469640983</v>
      </c>
      <c r="H928" s="2" t="s">
        <v>14</v>
      </c>
      <c r="I928" s="4">
        <v>43657.588194444441</v>
      </c>
      <c r="J928" s="2" t="s">
        <v>4504</v>
      </c>
    </row>
    <row r="929" spans="1:10" ht="135" x14ac:dyDescent="0.25">
      <c r="A929" s="2" t="s">
        <v>51</v>
      </c>
      <c r="B929" s="2" t="s">
        <v>3249</v>
      </c>
      <c r="C929" s="2" t="s">
        <v>3250</v>
      </c>
      <c r="D929" s="2" t="s">
        <v>3248</v>
      </c>
      <c r="E929" s="2" t="s">
        <v>2945</v>
      </c>
      <c r="F929" s="3">
        <v>42171</v>
      </c>
      <c r="G929" s="2" t="str">
        <f>"9789966028525"</f>
        <v>9789966028525</v>
      </c>
      <c r="H929" s="2" t="s">
        <v>14</v>
      </c>
      <c r="I929" s="4">
        <v>43795.724305555559</v>
      </c>
      <c r="J929" s="2" t="s">
        <v>3251</v>
      </c>
    </row>
    <row r="930" spans="1:10" ht="180" x14ac:dyDescent="0.25">
      <c r="A930" s="2" t="s">
        <v>51</v>
      </c>
      <c r="B930" s="2">
        <v>967.62</v>
      </c>
      <c r="C930" s="2" t="s">
        <v>2122</v>
      </c>
      <c r="D930" s="2" t="s">
        <v>2121</v>
      </c>
      <c r="E930" s="2" t="s">
        <v>146</v>
      </c>
      <c r="F930" s="3">
        <v>43139</v>
      </c>
      <c r="G930" s="2" t="str">
        <f>"9789966189028"</f>
        <v>9789966189028</v>
      </c>
      <c r="H930" s="2" t="s">
        <v>14</v>
      </c>
      <c r="I930" s="4">
        <v>43912.586805555555</v>
      </c>
      <c r="J930" s="2" t="s">
        <v>2123</v>
      </c>
    </row>
    <row r="931" spans="1:10" ht="135" x14ac:dyDescent="0.25">
      <c r="A931" s="2" t="s">
        <v>51</v>
      </c>
      <c r="B931" s="2">
        <v>972.91010000000006</v>
      </c>
      <c r="C931" s="2" t="s">
        <v>8876</v>
      </c>
      <c r="D931" s="2" t="s">
        <v>8875</v>
      </c>
      <c r="E931" s="2" t="s">
        <v>130</v>
      </c>
      <c r="F931" s="3">
        <v>43207</v>
      </c>
      <c r="G931" s="2" t="str">
        <f>"9781683400608"</f>
        <v>9781683400608</v>
      </c>
      <c r="H931" s="2" t="s">
        <v>14</v>
      </c>
      <c r="I931" s="4">
        <v>43244.058333333334</v>
      </c>
      <c r="J931" s="2" t="s">
        <v>8877</v>
      </c>
    </row>
    <row r="932" spans="1:10" ht="135" x14ac:dyDescent="0.25">
      <c r="A932" s="2" t="s">
        <v>51</v>
      </c>
      <c r="B932" s="2" t="s">
        <v>3468</v>
      </c>
      <c r="C932" s="2" t="s">
        <v>3469</v>
      </c>
      <c r="D932" s="2" t="s">
        <v>3467</v>
      </c>
      <c r="E932" s="2" t="s">
        <v>216</v>
      </c>
      <c r="F932" s="3">
        <v>43556</v>
      </c>
      <c r="G932" s="2" t="str">
        <f>"9781438473659"</f>
        <v>9781438473659</v>
      </c>
      <c r="H932" s="2" t="s">
        <v>14</v>
      </c>
      <c r="I932" s="4">
        <v>43780.73541666667</v>
      </c>
      <c r="J932" s="2" t="s">
        <v>3470</v>
      </c>
    </row>
    <row r="933" spans="1:10" ht="135" x14ac:dyDescent="0.25">
      <c r="A933" s="2" t="s">
        <v>51</v>
      </c>
      <c r="B933" s="2">
        <v>973.71299999999997</v>
      </c>
      <c r="C933" s="2" t="s">
        <v>12942</v>
      </c>
      <c r="D933" s="2" t="s">
        <v>12941</v>
      </c>
      <c r="E933" s="2" t="s">
        <v>8785</v>
      </c>
      <c r="F933" s="3">
        <v>41379</v>
      </c>
      <c r="G933" s="2" t="str">
        <f>"9780807150054"</f>
        <v>9780807150054</v>
      </c>
      <c r="H933" s="2" t="s">
        <v>14</v>
      </c>
      <c r="I933" s="4">
        <v>42754.749305555553</v>
      </c>
      <c r="J933" s="2" t="s">
        <v>12943</v>
      </c>
    </row>
    <row r="934" spans="1:10" ht="135" x14ac:dyDescent="0.25">
      <c r="A934" s="2" t="s">
        <v>51</v>
      </c>
      <c r="B934" s="2">
        <v>993.101</v>
      </c>
      <c r="C934" s="2" t="s">
        <v>8811</v>
      </c>
      <c r="D934" s="2" t="s">
        <v>8810</v>
      </c>
      <c r="E934" s="2" t="s">
        <v>3481</v>
      </c>
      <c r="F934" s="3">
        <v>41821</v>
      </c>
      <c r="G934" s="2" t="str">
        <f>"9781775587026"</f>
        <v>9781775587026</v>
      </c>
      <c r="H934" s="2" t="s">
        <v>14</v>
      </c>
      <c r="I934" s="4">
        <v>43250.620833333334</v>
      </c>
      <c r="J934" s="2" t="s">
        <v>8812</v>
      </c>
    </row>
    <row r="935" spans="1:10" ht="135" x14ac:dyDescent="0.25">
      <c r="A935" s="2" t="s">
        <v>51</v>
      </c>
      <c r="B935" s="2">
        <v>975.9</v>
      </c>
      <c r="C935" s="2" t="s">
        <v>7830</v>
      </c>
      <c r="D935" s="2" t="s">
        <v>7829</v>
      </c>
      <c r="E935" s="2" t="s">
        <v>130</v>
      </c>
      <c r="F935" s="3">
        <v>41975</v>
      </c>
      <c r="G935" s="2" t="str">
        <f>"9780813055053"</f>
        <v>9780813055053</v>
      </c>
      <c r="H935" s="2" t="s">
        <v>14</v>
      </c>
      <c r="I935" s="4">
        <v>43386.615277777775</v>
      </c>
      <c r="J935" s="2" t="s">
        <v>7831</v>
      </c>
    </row>
    <row r="936" spans="1:10" ht="150" x14ac:dyDescent="0.25">
      <c r="A936" s="2" t="s">
        <v>51</v>
      </c>
      <c r="B936" s="2">
        <v>933</v>
      </c>
      <c r="C936" s="2" t="s">
        <v>7069</v>
      </c>
      <c r="D936" s="2" t="s">
        <v>7068</v>
      </c>
      <c r="E936" s="2" t="s">
        <v>2089</v>
      </c>
      <c r="F936" s="3">
        <v>40422</v>
      </c>
      <c r="G936" s="2" t="str">
        <f>"9781575066103"</f>
        <v>9781575066103</v>
      </c>
      <c r="H936" s="2" t="s">
        <v>14</v>
      </c>
      <c r="I936" s="4">
        <v>43453.495138888888</v>
      </c>
      <c r="J936" s="2" t="s">
        <v>7070</v>
      </c>
    </row>
    <row r="937" spans="1:10" ht="135" x14ac:dyDescent="0.25">
      <c r="A937" s="2" t="s">
        <v>51</v>
      </c>
      <c r="B937" s="2" t="s">
        <v>7065</v>
      </c>
      <c r="C937" s="2" t="s">
        <v>7727</v>
      </c>
      <c r="D937" s="2" t="s">
        <v>7726</v>
      </c>
      <c r="E937" s="2" t="s">
        <v>2089</v>
      </c>
      <c r="F937" s="3">
        <v>41275</v>
      </c>
      <c r="G937" s="2" t="str">
        <f>"9781575068596"</f>
        <v>9781575068596</v>
      </c>
      <c r="H937" s="2" t="s">
        <v>14</v>
      </c>
      <c r="I937" s="4">
        <v>43396.447222222225</v>
      </c>
      <c r="J937" s="2" t="s">
        <v>7728</v>
      </c>
    </row>
    <row r="938" spans="1:10" ht="135" x14ac:dyDescent="0.25">
      <c r="A938" s="2" t="s">
        <v>51</v>
      </c>
      <c r="B938" s="2" t="s">
        <v>9756</v>
      </c>
      <c r="C938" s="2" t="s">
        <v>9757</v>
      </c>
      <c r="D938" s="2" t="s">
        <v>9755</v>
      </c>
      <c r="E938" s="2" t="s">
        <v>4660</v>
      </c>
      <c r="F938" s="3">
        <v>31686</v>
      </c>
      <c r="G938" s="2" t="str">
        <f>"9780813148687"</f>
        <v>9780813148687</v>
      </c>
      <c r="H938" s="2" t="s">
        <v>14</v>
      </c>
      <c r="I938" s="4">
        <v>43131.663194444445</v>
      </c>
      <c r="J938" s="2" t="s">
        <v>9758</v>
      </c>
    </row>
    <row r="939" spans="1:10" ht="135" x14ac:dyDescent="0.25">
      <c r="A939" s="2" t="s">
        <v>51</v>
      </c>
      <c r="B939" s="2">
        <v>984.01</v>
      </c>
      <c r="C939" s="2" t="s">
        <v>5129</v>
      </c>
      <c r="D939" s="2" t="s">
        <v>5128</v>
      </c>
      <c r="E939" s="2" t="s">
        <v>164</v>
      </c>
      <c r="F939" s="3">
        <v>42614</v>
      </c>
      <c r="G939" s="2" t="str">
        <f>"9780826357106"</f>
        <v>9780826357106</v>
      </c>
      <c r="H939" s="2" t="s">
        <v>14</v>
      </c>
      <c r="I939" s="4">
        <v>43609.847916666666</v>
      </c>
      <c r="J939" s="2" t="s">
        <v>5130</v>
      </c>
    </row>
    <row r="940" spans="1:10" ht="135" x14ac:dyDescent="0.25">
      <c r="A940" s="2" t="s">
        <v>51</v>
      </c>
      <c r="B940" s="2">
        <v>964.50199999999995</v>
      </c>
      <c r="C940" s="2" t="s">
        <v>6520</v>
      </c>
      <c r="D940" s="2" t="s">
        <v>6519</v>
      </c>
      <c r="E940" s="2" t="s">
        <v>526</v>
      </c>
      <c r="F940" s="3">
        <v>42170</v>
      </c>
      <c r="G940" s="2" t="str">
        <f>"9780292766662"</f>
        <v>9780292766662</v>
      </c>
      <c r="H940" s="2" t="s">
        <v>14</v>
      </c>
      <c r="I940" s="4">
        <v>43510.65625</v>
      </c>
      <c r="J940" s="2" t="s">
        <v>6521</v>
      </c>
    </row>
    <row r="941" spans="1:10" ht="135" x14ac:dyDescent="0.25">
      <c r="A941" s="2" t="s">
        <v>51</v>
      </c>
      <c r="B941" s="2" t="s">
        <v>7323</v>
      </c>
      <c r="C941" s="2" t="s">
        <v>3463</v>
      </c>
      <c r="D941" s="2" t="s">
        <v>7322</v>
      </c>
      <c r="E941" s="2" t="s">
        <v>578</v>
      </c>
      <c r="F941" s="3">
        <v>42912</v>
      </c>
      <c r="G941" s="2" t="str">
        <f>"9780252099809"</f>
        <v>9780252099809</v>
      </c>
      <c r="H941" s="2" t="s">
        <v>14</v>
      </c>
      <c r="I941" s="4">
        <v>43425.478472222225</v>
      </c>
      <c r="J941" s="2" t="s">
        <v>7324</v>
      </c>
    </row>
    <row r="942" spans="1:10" ht="135" x14ac:dyDescent="0.25">
      <c r="A942" s="2" t="s">
        <v>51</v>
      </c>
      <c r="B942" s="2">
        <v>947.70839999999998</v>
      </c>
      <c r="C942" s="2" t="s">
        <v>12599</v>
      </c>
      <c r="D942" s="2" t="s">
        <v>12598</v>
      </c>
      <c r="E942" s="2" t="s">
        <v>723</v>
      </c>
      <c r="F942" s="3">
        <v>42170</v>
      </c>
      <c r="G942" s="2" t="str">
        <f>"9781612493916"</f>
        <v>9781612493916</v>
      </c>
      <c r="H942" s="2" t="s">
        <v>14</v>
      </c>
      <c r="I942" s="4">
        <v>42790.57916666667</v>
      </c>
      <c r="J942" s="2" t="s">
        <v>12600</v>
      </c>
    </row>
    <row r="943" spans="1:10" ht="135" x14ac:dyDescent="0.25">
      <c r="A943" s="2" t="s">
        <v>51</v>
      </c>
      <c r="B943" s="2">
        <v>940.54817300000002</v>
      </c>
      <c r="C943" s="2" t="s">
        <v>4216</v>
      </c>
      <c r="D943" s="2" t="s">
        <v>4215</v>
      </c>
      <c r="E943" s="2" t="s">
        <v>69</v>
      </c>
      <c r="F943" s="3">
        <v>42646</v>
      </c>
      <c r="G943" s="2" t="str">
        <f>"9780253024602"</f>
        <v>9780253024602</v>
      </c>
      <c r="H943" s="2" t="s">
        <v>14</v>
      </c>
      <c r="I943" s="4">
        <v>43693.256944444445</v>
      </c>
      <c r="J943" s="2" t="s">
        <v>4217</v>
      </c>
    </row>
    <row r="944" spans="1:10" ht="135" x14ac:dyDescent="0.25">
      <c r="A944" s="2" t="s">
        <v>51</v>
      </c>
      <c r="B944" s="2">
        <v>973.70920000000001</v>
      </c>
      <c r="C944" s="2" t="s">
        <v>3065</v>
      </c>
      <c r="D944" s="2" t="s">
        <v>3731</v>
      </c>
      <c r="E944" s="2" t="s">
        <v>531</v>
      </c>
      <c r="F944" s="3">
        <v>43173</v>
      </c>
      <c r="G944" s="2" t="str">
        <f>"9780809336425"</f>
        <v>9780809336425</v>
      </c>
      <c r="H944" s="2" t="s">
        <v>14</v>
      </c>
      <c r="I944" s="4">
        <v>43760.722916666666</v>
      </c>
      <c r="J944" s="2" t="s">
        <v>3732</v>
      </c>
    </row>
    <row r="945" spans="1:10" ht="135" x14ac:dyDescent="0.25">
      <c r="A945" s="2" t="s">
        <v>51</v>
      </c>
      <c r="B945" s="2">
        <v>973.70920000000001</v>
      </c>
      <c r="C945" s="2" t="s">
        <v>9492</v>
      </c>
      <c r="D945" s="2" t="s">
        <v>9491</v>
      </c>
      <c r="E945" s="2" t="s">
        <v>256</v>
      </c>
      <c r="F945" s="3">
        <v>42719</v>
      </c>
      <c r="G945" s="2" t="str">
        <f>"9780821445761"</f>
        <v>9780821445761</v>
      </c>
      <c r="H945" s="2" t="s">
        <v>14</v>
      </c>
      <c r="I945" s="4">
        <v>43161.82916666667</v>
      </c>
      <c r="J945" s="2" t="s">
        <v>9493</v>
      </c>
    </row>
    <row r="946" spans="1:10" ht="135" x14ac:dyDescent="0.25">
      <c r="A946" s="2" t="s">
        <v>51</v>
      </c>
      <c r="B946" s="2">
        <v>973.70920000000001</v>
      </c>
      <c r="C946" s="2" t="s">
        <v>3065</v>
      </c>
      <c r="D946" s="2" t="s">
        <v>3064</v>
      </c>
      <c r="E946" s="2" t="s">
        <v>531</v>
      </c>
      <c r="F946" s="3">
        <v>43031</v>
      </c>
      <c r="G946" s="2" t="str">
        <f>"9780809336159"</f>
        <v>9780809336159</v>
      </c>
      <c r="H946" s="2" t="s">
        <v>14</v>
      </c>
      <c r="I946" s="4">
        <v>43818.761805555558</v>
      </c>
      <c r="J946" s="2" t="s">
        <v>3066</v>
      </c>
    </row>
    <row r="947" spans="1:10" ht="135" x14ac:dyDescent="0.25">
      <c r="A947" s="2" t="s">
        <v>51</v>
      </c>
      <c r="B947" s="2">
        <v>956.01499999999999</v>
      </c>
      <c r="C947" s="2" t="s">
        <v>12520</v>
      </c>
      <c r="D947" s="2" t="s">
        <v>12519</v>
      </c>
      <c r="E947" s="2" t="s">
        <v>69</v>
      </c>
      <c r="F947" s="3">
        <v>42471</v>
      </c>
      <c r="G947" s="2" t="str">
        <f>"9780253019486"</f>
        <v>9780253019486</v>
      </c>
      <c r="H947" s="2" t="s">
        <v>14</v>
      </c>
      <c r="I947" s="4">
        <v>42799.611111111109</v>
      </c>
      <c r="J947" s="2" t="s">
        <v>12521</v>
      </c>
    </row>
    <row r="948" spans="1:10" ht="135" x14ac:dyDescent="0.25">
      <c r="A948" s="2" t="s">
        <v>51</v>
      </c>
      <c r="B948" s="2" t="s">
        <v>9301</v>
      </c>
      <c r="C948" s="2" t="s">
        <v>9302</v>
      </c>
      <c r="D948" s="2" t="s">
        <v>9300</v>
      </c>
      <c r="E948" s="2" t="s">
        <v>69</v>
      </c>
      <c r="F948" s="3">
        <v>43027</v>
      </c>
      <c r="G948" s="2" t="str">
        <f>"9780253030207"</f>
        <v>9780253030207</v>
      </c>
      <c r="H948" s="2" t="s">
        <v>14</v>
      </c>
      <c r="I948" s="4">
        <v>43188.305555555555</v>
      </c>
      <c r="J948" s="2" t="s">
        <v>9303</v>
      </c>
    </row>
    <row r="949" spans="1:10" ht="165" x14ac:dyDescent="0.25">
      <c r="A949" s="2" t="s">
        <v>51</v>
      </c>
      <c r="B949" s="2">
        <v>930.1</v>
      </c>
      <c r="C949" s="2" t="s">
        <v>3763</v>
      </c>
      <c r="D949" s="2" t="s">
        <v>3762</v>
      </c>
      <c r="E949" s="2" t="s">
        <v>41</v>
      </c>
      <c r="F949" s="3">
        <v>42628</v>
      </c>
      <c r="G949" s="2" t="str">
        <f>"9780817389802"</f>
        <v>9780817389802</v>
      </c>
      <c r="H949" s="2" t="s">
        <v>14</v>
      </c>
      <c r="I949" s="4">
        <v>43756.55972222222</v>
      </c>
      <c r="J949" s="2" t="s">
        <v>3764</v>
      </c>
    </row>
    <row r="950" spans="1:10" ht="135" x14ac:dyDescent="0.25">
      <c r="A950" s="2" t="s">
        <v>51</v>
      </c>
      <c r="B950" s="2">
        <v>967.62040000000002</v>
      </c>
      <c r="C950" s="2" t="s">
        <v>147</v>
      </c>
      <c r="D950" s="2" t="s">
        <v>145</v>
      </c>
      <c r="E950" s="2" t="s">
        <v>146</v>
      </c>
      <c r="F950" s="3">
        <v>41974</v>
      </c>
      <c r="G950" s="2" t="str">
        <f>"9789966189066"</f>
        <v>9789966189066</v>
      </c>
      <c r="H950" s="2" t="s">
        <v>14</v>
      </c>
      <c r="I950" s="4">
        <v>44068.881944444445</v>
      </c>
      <c r="J950" s="2" t="s">
        <v>148</v>
      </c>
    </row>
    <row r="951" spans="1:10" ht="135" x14ac:dyDescent="0.25">
      <c r="A951" s="2" t="s">
        <v>51</v>
      </c>
      <c r="B951" s="2" t="s">
        <v>2824</v>
      </c>
      <c r="C951" s="2" t="s">
        <v>2825</v>
      </c>
      <c r="D951" s="2" t="s">
        <v>2823</v>
      </c>
      <c r="E951" s="2" t="s">
        <v>156</v>
      </c>
      <c r="F951" s="3">
        <v>42842</v>
      </c>
      <c r="G951" s="2" t="str">
        <f>"9781469632704"</f>
        <v>9781469632704</v>
      </c>
      <c r="H951" s="2" t="s">
        <v>14</v>
      </c>
      <c r="I951" s="4">
        <v>43851.618055555555</v>
      </c>
      <c r="J951" s="2" t="s">
        <v>2826</v>
      </c>
    </row>
    <row r="952" spans="1:10" ht="135" x14ac:dyDescent="0.25">
      <c r="A952" s="2" t="s">
        <v>51</v>
      </c>
      <c r="B952" s="2" t="s">
        <v>4833</v>
      </c>
      <c r="C952" s="2" t="s">
        <v>4834</v>
      </c>
      <c r="D952" s="2" t="s">
        <v>4832</v>
      </c>
      <c r="E952" s="2" t="s">
        <v>156</v>
      </c>
      <c r="F952" s="3">
        <v>43381</v>
      </c>
      <c r="G952" s="2" t="str">
        <f>"9781469643557"</f>
        <v>9781469643557</v>
      </c>
      <c r="H952" s="2" t="s">
        <v>14</v>
      </c>
      <c r="I952" s="4">
        <v>43623.813888888886</v>
      </c>
      <c r="J952" s="2" t="s">
        <v>4835</v>
      </c>
    </row>
    <row r="953" spans="1:10" ht="135" x14ac:dyDescent="0.25">
      <c r="A953" s="2" t="s">
        <v>51</v>
      </c>
      <c r="B953" s="2">
        <v>943.043092</v>
      </c>
      <c r="C953" s="2" t="s">
        <v>2936</v>
      </c>
      <c r="D953" s="2" t="s">
        <v>2935</v>
      </c>
      <c r="E953" s="2" t="s">
        <v>723</v>
      </c>
      <c r="F953" s="3">
        <v>43784</v>
      </c>
      <c r="G953" s="2" t="str">
        <f>"9781612495927"</f>
        <v>9781612495927</v>
      </c>
      <c r="H953" s="2" t="s">
        <v>14</v>
      </c>
      <c r="I953" s="4">
        <v>43841.572916666664</v>
      </c>
      <c r="J953" s="2" t="s">
        <v>2937</v>
      </c>
    </row>
    <row r="954" spans="1:10" ht="135" x14ac:dyDescent="0.25">
      <c r="A954" s="2" t="s">
        <v>51</v>
      </c>
      <c r="B954" s="2" t="s">
        <v>1349</v>
      </c>
      <c r="C954" s="2" t="s">
        <v>1350</v>
      </c>
      <c r="D954" s="2" t="s">
        <v>1347</v>
      </c>
      <c r="E954" s="2" t="s">
        <v>1348</v>
      </c>
      <c r="F954" s="3">
        <v>42200</v>
      </c>
      <c r="G954" s="2" t="str">
        <f>"9781783603817"</f>
        <v>9781783603817</v>
      </c>
      <c r="H954" s="2" t="s">
        <v>14</v>
      </c>
      <c r="I954" s="4">
        <v>43948.198611111111</v>
      </c>
      <c r="J954" s="2" t="s">
        <v>1351</v>
      </c>
    </row>
    <row r="955" spans="1:10" ht="135" x14ac:dyDescent="0.25">
      <c r="A955" s="2" t="s">
        <v>51</v>
      </c>
      <c r="B955" s="2">
        <v>956.05399999999997</v>
      </c>
      <c r="C955" s="2" t="s">
        <v>5772</v>
      </c>
      <c r="D955" s="2" t="s">
        <v>5771</v>
      </c>
      <c r="E955" s="2" t="s">
        <v>310</v>
      </c>
      <c r="F955" s="3">
        <v>43524</v>
      </c>
      <c r="G955" s="2" t="str">
        <f>"9780815654575"</f>
        <v>9780815654575</v>
      </c>
      <c r="H955" s="2" t="s">
        <v>14</v>
      </c>
      <c r="I955" s="4">
        <v>43573.768055555556</v>
      </c>
      <c r="J955" s="2" t="s">
        <v>5773</v>
      </c>
    </row>
    <row r="956" spans="1:10" ht="135" x14ac:dyDescent="0.25">
      <c r="A956" s="2" t="s">
        <v>51</v>
      </c>
      <c r="C956" s="2" t="s">
        <v>1389</v>
      </c>
      <c r="D956" s="2" t="s">
        <v>1388</v>
      </c>
      <c r="E956" s="2" t="s">
        <v>130</v>
      </c>
      <c r="F956" s="3">
        <v>43837</v>
      </c>
      <c r="G956" s="2" t="str">
        <f>"9780813057279"</f>
        <v>9780813057279</v>
      </c>
      <c r="H956" s="2" t="s">
        <v>14</v>
      </c>
      <c r="I956" s="4">
        <v>43945.644444444442</v>
      </c>
      <c r="J956" s="2" t="s">
        <v>1390</v>
      </c>
    </row>
    <row r="957" spans="1:10" ht="135" x14ac:dyDescent="0.25">
      <c r="A957" s="2" t="s">
        <v>51</v>
      </c>
      <c r="B957" s="2">
        <v>972.87</v>
      </c>
      <c r="C957" s="2" t="s">
        <v>5094</v>
      </c>
      <c r="D957" s="2" t="s">
        <v>5093</v>
      </c>
      <c r="E957" s="2" t="s">
        <v>130</v>
      </c>
      <c r="F957" s="3">
        <v>42612</v>
      </c>
      <c r="G957" s="2" t="str">
        <f>"9780813052533"</f>
        <v>9780813052533</v>
      </c>
      <c r="H957" s="2" t="s">
        <v>14</v>
      </c>
      <c r="I957" s="4">
        <v>43610.916666666664</v>
      </c>
      <c r="J957" s="2" t="s">
        <v>5095</v>
      </c>
    </row>
    <row r="958" spans="1:10" ht="180" x14ac:dyDescent="0.25">
      <c r="A958" s="2" t="s">
        <v>51</v>
      </c>
      <c r="B958" s="2">
        <v>933</v>
      </c>
      <c r="C958" s="2" t="s">
        <v>7777</v>
      </c>
      <c r="D958" s="2" t="s">
        <v>7776</v>
      </c>
      <c r="E958" s="2" t="s">
        <v>2089</v>
      </c>
      <c r="F958" s="3">
        <v>41760</v>
      </c>
      <c r="G958" s="2" t="str">
        <f>"9781575068787"</f>
        <v>9781575068787</v>
      </c>
      <c r="H958" s="2" t="s">
        <v>14</v>
      </c>
      <c r="I958" s="4">
        <v>43390.620138888888</v>
      </c>
      <c r="J958" s="2" t="s">
        <v>7778</v>
      </c>
    </row>
    <row r="959" spans="1:10" ht="165" x14ac:dyDescent="0.25">
      <c r="A959" s="2" t="s">
        <v>51</v>
      </c>
      <c r="B959" s="2">
        <v>940.53162999999995</v>
      </c>
      <c r="C959" s="2" t="s">
        <v>20</v>
      </c>
      <c r="D959" s="2" t="s">
        <v>8198</v>
      </c>
      <c r="E959" s="2" t="s">
        <v>37</v>
      </c>
      <c r="F959" s="3">
        <v>42648</v>
      </c>
      <c r="G959" s="2" t="str">
        <f>"9783319328416"</f>
        <v>9783319328416</v>
      </c>
      <c r="H959" s="2" t="s">
        <v>14</v>
      </c>
      <c r="I959" s="4">
        <v>43342.552777777775</v>
      </c>
      <c r="J959" s="2" t="s">
        <v>8199</v>
      </c>
    </row>
    <row r="960" spans="1:10" ht="135" x14ac:dyDescent="0.25">
      <c r="A960" s="2" t="s">
        <v>51</v>
      </c>
      <c r="B960" s="2" t="s">
        <v>12952</v>
      </c>
      <c r="C960" s="2" t="s">
        <v>12953</v>
      </c>
      <c r="D960" s="2" t="s">
        <v>12951</v>
      </c>
      <c r="E960" s="2" t="s">
        <v>156</v>
      </c>
      <c r="F960" s="3">
        <v>41029</v>
      </c>
      <c r="G960" s="2" t="str">
        <f>"9781469601793"</f>
        <v>9781469601793</v>
      </c>
      <c r="H960" s="2" t="s">
        <v>14</v>
      </c>
      <c r="I960" s="4">
        <v>42754.429166666669</v>
      </c>
      <c r="J960" s="2" t="s">
        <v>12954</v>
      </c>
    </row>
    <row r="961" spans="1:10" ht="135" x14ac:dyDescent="0.25">
      <c r="A961" s="2" t="s">
        <v>51</v>
      </c>
      <c r="B961" s="2">
        <v>941.5</v>
      </c>
      <c r="C961" s="2" t="s">
        <v>7230</v>
      </c>
      <c r="D961" s="2" t="s">
        <v>7229</v>
      </c>
      <c r="E961" s="2" t="s">
        <v>310</v>
      </c>
      <c r="F961" s="3">
        <v>40548</v>
      </c>
      <c r="G961" s="2" t="str">
        <f>"9780815651505"</f>
        <v>9780815651505</v>
      </c>
      <c r="H961" s="2" t="s">
        <v>14</v>
      </c>
      <c r="I961" s="4">
        <v>43431.930555555555</v>
      </c>
      <c r="J961" s="2" t="s">
        <v>7231</v>
      </c>
    </row>
    <row r="962" spans="1:10" ht="135" x14ac:dyDescent="0.25">
      <c r="A962" s="2" t="s">
        <v>51</v>
      </c>
      <c r="B962" s="2">
        <v>941.5</v>
      </c>
      <c r="C962" s="2" t="s">
        <v>5455</v>
      </c>
      <c r="D962" s="2" t="s">
        <v>5454</v>
      </c>
      <c r="E962" s="2" t="s">
        <v>310</v>
      </c>
      <c r="F962" s="3">
        <v>40997</v>
      </c>
      <c r="G962" s="2" t="str">
        <f>"9780815651710"</f>
        <v>9780815651710</v>
      </c>
      <c r="H962" s="2" t="s">
        <v>14</v>
      </c>
      <c r="I962" s="4">
        <v>43598.277083333334</v>
      </c>
      <c r="J962" s="2" t="s">
        <v>5456</v>
      </c>
    </row>
    <row r="963" spans="1:10" ht="135" x14ac:dyDescent="0.25">
      <c r="A963" s="2" t="s">
        <v>51</v>
      </c>
      <c r="B963" s="2">
        <v>940.53180942999995</v>
      </c>
      <c r="C963" s="2" t="s">
        <v>1648</v>
      </c>
      <c r="D963" s="2" t="s">
        <v>1647</v>
      </c>
      <c r="E963" s="2" t="s">
        <v>260</v>
      </c>
      <c r="F963" s="3">
        <v>43881</v>
      </c>
      <c r="G963" s="2" t="str">
        <f>"9781439914250"</f>
        <v>9781439914250</v>
      </c>
      <c r="H963" s="2" t="s">
        <v>14</v>
      </c>
      <c r="I963" s="4">
        <v>43934.677777777775</v>
      </c>
      <c r="J963" s="2" t="s">
        <v>1649</v>
      </c>
    </row>
    <row r="964" spans="1:10" ht="150" x14ac:dyDescent="0.25">
      <c r="A964" s="2" t="s">
        <v>51</v>
      </c>
      <c r="B964" s="2">
        <v>956.04</v>
      </c>
      <c r="C964" s="2" t="s">
        <v>1288</v>
      </c>
      <c r="D964" s="2" t="s">
        <v>1287</v>
      </c>
      <c r="E964" s="2" t="s">
        <v>69</v>
      </c>
      <c r="F964" s="3">
        <v>43523</v>
      </c>
      <c r="G964" s="2" t="str">
        <f>"9780253039552"</f>
        <v>9780253039552</v>
      </c>
      <c r="H964" s="2" t="s">
        <v>14</v>
      </c>
      <c r="I964" s="4">
        <v>43951.447916666664</v>
      </c>
      <c r="J964" s="2" t="s">
        <v>1289</v>
      </c>
    </row>
    <row r="965" spans="1:10" ht="135" x14ac:dyDescent="0.25">
      <c r="A965" s="2" t="s">
        <v>51</v>
      </c>
      <c r="B965" s="2">
        <v>972.07092399999999</v>
      </c>
      <c r="C965" s="2" t="s">
        <v>11366</v>
      </c>
      <c r="D965" s="2" t="s">
        <v>11365</v>
      </c>
      <c r="E965" s="2" t="s">
        <v>4660</v>
      </c>
      <c r="F965" s="3">
        <v>41827</v>
      </c>
      <c r="G965" s="2" t="str">
        <f>"9780813164199"</f>
        <v>9780813164199</v>
      </c>
      <c r="H965" s="2" t="s">
        <v>14</v>
      </c>
      <c r="I965" s="4">
        <v>42982.696527777778</v>
      </c>
      <c r="J965" s="2" t="s">
        <v>11367</v>
      </c>
    </row>
    <row r="966" spans="1:10" ht="135" x14ac:dyDescent="0.25">
      <c r="A966" s="2" t="s">
        <v>51</v>
      </c>
      <c r="B966" s="2" t="s">
        <v>8076</v>
      </c>
      <c r="C966" s="2" t="s">
        <v>8077</v>
      </c>
      <c r="D966" s="2" t="s">
        <v>8075</v>
      </c>
      <c r="E966" s="2" t="s">
        <v>69</v>
      </c>
      <c r="F966" s="3">
        <v>41697</v>
      </c>
      <c r="G966" s="2" t="str">
        <f>"9780253014245"</f>
        <v>9780253014245</v>
      </c>
      <c r="H966" s="2" t="s">
        <v>14</v>
      </c>
      <c r="I966" s="4">
        <v>43356.755555555559</v>
      </c>
      <c r="J966" s="2" t="s">
        <v>8078</v>
      </c>
    </row>
    <row r="967" spans="1:10" ht="135" x14ac:dyDescent="0.25">
      <c r="A967" s="2" t="s">
        <v>51</v>
      </c>
      <c r="B967" s="2">
        <v>972</v>
      </c>
      <c r="C967" s="2" t="s">
        <v>7158</v>
      </c>
      <c r="D967" s="2" t="s">
        <v>7157</v>
      </c>
      <c r="E967" s="2" t="s">
        <v>195</v>
      </c>
      <c r="F967" s="3">
        <v>43039</v>
      </c>
      <c r="G967" s="2" t="str">
        <f>"9780816537532"</f>
        <v>9780816537532</v>
      </c>
      <c r="H967" s="2" t="s">
        <v>14</v>
      </c>
      <c r="I967" s="4">
        <v>43439.507638888892</v>
      </c>
      <c r="J967" s="2" t="s">
        <v>7159</v>
      </c>
    </row>
    <row r="968" spans="1:10" ht="150" x14ac:dyDescent="0.25">
      <c r="A968" s="2" t="s">
        <v>51</v>
      </c>
      <c r="B968" s="2">
        <v>970.00496999999996</v>
      </c>
      <c r="C968" s="2" t="s">
        <v>6011</v>
      </c>
      <c r="D968" s="2" t="s">
        <v>6010</v>
      </c>
      <c r="E968" s="2" t="s">
        <v>50</v>
      </c>
      <c r="F968" s="3">
        <v>43070</v>
      </c>
      <c r="G968" s="2" t="str">
        <f>"9781496204790"</f>
        <v>9781496204790</v>
      </c>
      <c r="H968" s="2" t="s">
        <v>14</v>
      </c>
      <c r="I968" s="4">
        <v>43550.463888888888</v>
      </c>
      <c r="J968" s="2" t="s">
        <v>6012</v>
      </c>
    </row>
    <row r="969" spans="1:10" ht="165" x14ac:dyDescent="0.25">
      <c r="A969" s="2" t="s">
        <v>51</v>
      </c>
      <c r="B969" s="2" t="s">
        <v>8006</v>
      </c>
      <c r="C969" s="2" t="s">
        <v>10499</v>
      </c>
      <c r="D969" s="2" t="s">
        <v>10498</v>
      </c>
      <c r="E969" s="2" t="s">
        <v>2089</v>
      </c>
      <c r="F969" s="3">
        <v>41609</v>
      </c>
      <c r="G969" s="2" t="str">
        <f>"9781575068893"</f>
        <v>9781575068893</v>
      </c>
      <c r="H969" s="2" t="s">
        <v>14</v>
      </c>
      <c r="I969" s="4">
        <v>43054.536805555559</v>
      </c>
      <c r="J969" s="2" t="s">
        <v>10500</v>
      </c>
    </row>
    <row r="970" spans="1:10" ht="135" x14ac:dyDescent="0.25">
      <c r="A970" s="2" t="s">
        <v>51</v>
      </c>
      <c r="B970" s="2" t="s">
        <v>4853</v>
      </c>
      <c r="C970" s="2" t="s">
        <v>4854</v>
      </c>
      <c r="D970" s="2" t="s">
        <v>4852</v>
      </c>
      <c r="E970" s="2" t="s">
        <v>156</v>
      </c>
      <c r="F970" s="3">
        <v>43542</v>
      </c>
      <c r="G970" s="2" t="str">
        <f>"9781469648422"</f>
        <v>9781469648422</v>
      </c>
      <c r="H970" s="2" t="s">
        <v>14</v>
      </c>
      <c r="I970" s="4">
        <v>43620.932638888888</v>
      </c>
      <c r="J970" s="2" t="s">
        <v>4855</v>
      </c>
    </row>
    <row r="971" spans="1:10" ht="135" x14ac:dyDescent="0.25">
      <c r="A971" s="2" t="s">
        <v>51</v>
      </c>
      <c r="B971" s="2" t="s">
        <v>9965</v>
      </c>
      <c r="C971" s="2" t="s">
        <v>9966</v>
      </c>
      <c r="D971" s="2" t="s">
        <v>9964</v>
      </c>
      <c r="E971" s="2" t="s">
        <v>526</v>
      </c>
      <c r="F971" s="3">
        <v>33970</v>
      </c>
      <c r="G971" s="2" t="str">
        <f>"9781477300527"</f>
        <v>9781477300527</v>
      </c>
      <c r="H971" s="2" t="s">
        <v>14</v>
      </c>
      <c r="I971" s="4">
        <v>43116.247916666667</v>
      </c>
      <c r="J971" s="2" t="s">
        <v>9967</v>
      </c>
    </row>
    <row r="972" spans="1:10" ht="135" x14ac:dyDescent="0.25">
      <c r="A972" s="2" t="s">
        <v>51</v>
      </c>
      <c r="B972" s="2">
        <v>947.08620919999998</v>
      </c>
      <c r="C972" s="2" t="s">
        <v>1845</v>
      </c>
      <c r="D972" s="2" t="s">
        <v>1844</v>
      </c>
      <c r="E972" s="2" t="s">
        <v>268</v>
      </c>
      <c r="F972" s="3">
        <v>42037</v>
      </c>
      <c r="G972" s="2" t="str">
        <f>"9780815726180"</f>
        <v>9780815726180</v>
      </c>
      <c r="H972" s="2" t="s">
        <v>14</v>
      </c>
      <c r="I972" s="4">
        <v>43924.595833333333</v>
      </c>
      <c r="J972" s="2" t="s">
        <v>1846</v>
      </c>
    </row>
    <row r="973" spans="1:10" ht="135" x14ac:dyDescent="0.25">
      <c r="A973" s="2" t="s">
        <v>51</v>
      </c>
      <c r="B973" s="2" t="s">
        <v>5000</v>
      </c>
      <c r="C973" s="2" t="s">
        <v>5001</v>
      </c>
      <c r="D973" s="2" t="s">
        <v>4998</v>
      </c>
      <c r="E973" s="2" t="s">
        <v>4999</v>
      </c>
      <c r="F973" s="3">
        <v>41739</v>
      </c>
      <c r="G973" s="2" t="str">
        <f>"9781623033514"</f>
        <v>9781623033514</v>
      </c>
      <c r="H973" s="2" t="s">
        <v>14</v>
      </c>
      <c r="I973" s="4">
        <v>43613.456250000003</v>
      </c>
      <c r="J973" s="2" t="s">
        <v>5002</v>
      </c>
    </row>
    <row r="974" spans="1:10" ht="165" x14ac:dyDescent="0.25">
      <c r="A974" s="2" t="s">
        <v>51</v>
      </c>
      <c r="B974" s="2" t="s">
        <v>5288</v>
      </c>
      <c r="C974" s="2" t="s">
        <v>5289</v>
      </c>
      <c r="D974" s="2" t="s">
        <v>5287</v>
      </c>
      <c r="E974" s="2" t="s">
        <v>130</v>
      </c>
      <c r="F974" s="3">
        <v>42486</v>
      </c>
      <c r="G974" s="2" t="str">
        <f>"9780813055992"</f>
        <v>9780813055992</v>
      </c>
      <c r="H974" s="2" t="s">
        <v>14</v>
      </c>
      <c r="I974" s="4">
        <v>43605.986111111109</v>
      </c>
      <c r="J974" s="2" t="s">
        <v>5290</v>
      </c>
    </row>
    <row r="975" spans="1:10" ht="135" x14ac:dyDescent="0.25">
      <c r="A975" s="2" t="s">
        <v>51</v>
      </c>
      <c r="B975" s="2" t="s">
        <v>1728</v>
      </c>
      <c r="C975" s="2" t="s">
        <v>13051</v>
      </c>
      <c r="D975" s="2" t="s">
        <v>13050</v>
      </c>
      <c r="E975" s="2" t="s">
        <v>73</v>
      </c>
      <c r="F975" s="3">
        <v>41518</v>
      </c>
      <c r="G975" s="2" t="str">
        <f>"9780816685776"</f>
        <v>9780816685776</v>
      </c>
      <c r="H975" s="2" t="s">
        <v>14</v>
      </c>
      <c r="I975" s="4">
        <v>42746.084027777775</v>
      </c>
      <c r="J975" s="2" t="s">
        <v>13052</v>
      </c>
    </row>
    <row r="976" spans="1:10" ht="150" x14ac:dyDescent="0.25">
      <c r="A976" s="2" t="s">
        <v>51</v>
      </c>
      <c r="B976" s="2">
        <v>974.00496999999996</v>
      </c>
      <c r="C976" s="2" t="s">
        <v>12133</v>
      </c>
      <c r="D976" s="2" t="s">
        <v>12132</v>
      </c>
      <c r="E976" s="2" t="s">
        <v>156</v>
      </c>
      <c r="F976" s="3">
        <v>42121</v>
      </c>
      <c r="G976" s="2" t="str">
        <f>"9781469623351"</f>
        <v>9781469623351</v>
      </c>
      <c r="H976" s="2" t="s">
        <v>14</v>
      </c>
      <c r="I976" s="4">
        <v>42845.90347222222</v>
      </c>
      <c r="J976" s="2" t="s">
        <v>12134</v>
      </c>
    </row>
    <row r="977" spans="1:10" ht="135" x14ac:dyDescent="0.25">
      <c r="A977" s="2" t="s">
        <v>51</v>
      </c>
      <c r="B977" s="2">
        <v>970.00496999999996</v>
      </c>
      <c r="C977" s="2" t="s">
        <v>3981</v>
      </c>
      <c r="D977" s="2" t="s">
        <v>3980</v>
      </c>
      <c r="E977" s="2" t="s">
        <v>50</v>
      </c>
      <c r="F977" s="3">
        <v>41791</v>
      </c>
      <c r="G977" s="2" t="str">
        <f>"9780803255302"</f>
        <v>9780803255302</v>
      </c>
      <c r="H977" s="2" t="s">
        <v>14</v>
      </c>
      <c r="I977" s="4">
        <v>43731.681944444441</v>
      </c>
      <c r="J977" s="2" t="s">
        <v>3982</v>
      </c>
    </row>
    <row r="978" spans="1:10" ht="135" x14ac:dyDescent="0.25">
      <c r="A978" s="2" t="s">
        <v>51</v>
      </c>
      <c r="B978" s="2">
        <v>967.5710431</v>
      </c>
      <c r="C978" s="2" t="s">
        <v>20</v>
      </c>
      <c r="D978" s="2" t="s">
        <v>4725</v>
      </c>
      <c r="E978" s="2" t="s">
        <v>37</v>
      </c>
      <c r="F978" s="3">
        <v>42767</v>
      </c>
      <c r="G978" s="2" t="str">
        <f>"9783319451954"</f>
        <v>9783319451954</v>
      </c>
      <c r="H978" s="2" t="s">
        <v>14</v>
      </c>
      <c r="I978" s="4">
        <v>43634.647916666669</v>
      </c>
      <c r="J978" s="2" t="s">
        <v>4726</v>
      </c>
    </row>
    <row r="979" spans="1:10" ht="135" x14ac:dyDescent="0.25">
      <c r="A979" s="2" t="s">
        <v>51</v>
      </c>
      <c r="B979" s="2">
        <v>940.53183507999995</v>
      </c>
      <c r="C979" s="2" t="s">
        <v>9731</v>
      </c>
      <c r="D979" s="2" t="s">
        <v>9730</v>
      </c>
      <c r="E979" s="2" t="s">
        <v>723</v>
      </c>
      <c r="F979" s="3">
        <v>41075</v>
      </c>
      <c r="G979" s="2" t="str">
        <f>"9781612492230"</f>
        <v>9781612492230</v>
      </c>
      <c r="H979" s="2" t="s">
        <v>14</v>
      </c>
      <c r="I979" s="4">
        <v>43133.590277777781</v>
      </c>
      <c r="J979" s="2" t="s">
        <v>9732</v>
      </c>
    </row>
    <row r="980" spans="1:10" ht="135" x14ac:dyDescent="0.25">
      <c r="A980" s="2" t="s">
        <v>51</v>
      </c>
      <c r="B980" s="2" t="s">
        <v>8276</v>
      </c>
      <c r="C980" s="2" t="s">
        <v>336</v>
      </c>
      <c r="D980" s="2" t="s">
        <v>8275</v>
      </c>
      <c r="E980" s="2" t="s">
        <v>578</v>
      </c>
      <c r="F980" s="3">
        <v>42816</v>
      </c>
      <c r="G980" s="2" t="str">
        <f>"9780252099496"</f>
        <v>9780252099496</v>
      </c>
      <c r="H980" s="2" t="s">
        <v>14</v>
      </c>
      <c r="I980" s="4">
        <v>43327.292361111111</v>
      </c>
      <c r="J980" s="2" t="s">
        <v>8277</v>
      </c>
    </row>
    <row r="981" spans="1:10" ht="135" x14ac:dyDescent="0.25">
      <c r="A981" s="2" t="s">
        <v>51</v>
      </c>
      <c r="B981" s="2">
        <v>973.04510000000005</v>
      </c>
      <c r="C981" s="2" t="s">
        <v>336</v>
      </c>
      <c r="D981" s="2" t="s">
        <v>8241</v>
      </c>
      <c r="E981" s="2" t="s">
        <v>578</v>
      </c>
      <c r="F981" s="3">
        <v>43042</v>
      </c>
      <c r="G981" s="2" t="str">
        <f>"9780252099991"</f>
        <v>9780252099991</v>
      </c>
      <c r="H981" s="2" t="s">
        <v>14</v>
      </c>
      <c r="I981" s="4">
        <v>43332.59097222222</v>
      </c>
      <c r="J981" s="2" t="s">
        <v>8242</v>
      </c>
    </row>
    <row r="982" spans="1:10" ht="135" x14ac:dyDescent="0.25">
      <c r="A982" s="2" t="s">
        <v>51</v>
      </c>
      <c r="B982" s="2">
        <v>940.51</v>
      </c>
      <c r="C982" s="2" t="s">
        <v>20</v>
      </c>
      <c r="D982" s="2" t="s">
        <v>11960</v>
      </c>
      <c r="E982" s="2" t="s">
        <v>37</v>
      </c>
      <c r="F982" s="3">
        <v>42695</v>
      </c>
      <c r="G982" s="2" t="str">
        <f>"9783319389158"</f>
        <v>9783319389158</v>
      </c>
      <c r="H982" s="2" t="s">
        <v>14</v>
      </c>
      <c r="I982" s="4">
        <v>42867.640972222223</v>
      </c>
      <c r="J982" s="2" t="s">
        <v>11961</v>
      </c>
    </row>
    <row r="983" spans="1:10" ht="135" x14ac:dyDescent="0.25">
      <c r="A983" s="2" t="s">
        <v>51</v>
      </c>
      <c r="B983" s="2" t="s">
        <v>7552</v>
      </c>
      <c r="C983" s="2" t="s">
        <v>7553</v>
      </c>
      <c r="D983" s="2" t="s">
        <v>7551</v>
      </c>
      <c r="E983" s="2" t="s">
        <v>397</v>
      </c>
      <c r="F983" s="3">
        <v>43231</v>
      </c>
      <c r="G983" s="2" t="str">
        <f>"9780822983460"</f>
        <v>9780822983460</v>
      </c>
      <c r="H983" s="2" t="s">
        <v>14</v>
      </c>
      <c r="I983" s="4">
        <v>43409.407638888886</v>
      </c>
      <c r="J983" s="2" t="s">
        <v>7554</v>
      </c>
    </row>
    <row r="984" spans="1:10" ht="135" x14ac:dyDescent="0.25">
      <c r="A984" s="2" t="s">
        <v>51</v>
      </c>
      <c r="B984" s="2" t="s">
        <v>4538</v>
      </c>
      <c r="C984" s="2" t="s">
        <v>4539</v>
      </c>
      <c r="D984" s="2" t="s">
        <v>4537</v>
      </c>
      <c r="E984" s="2" t="s">
        <v>54</v>
      </c>
      <c r="F984" s="3">
        <v>43074</v>
      </c>
      <c r="G984" s="2" t="str">
        <f>"9780804799102"</f>
        <v>9780804799102</v>
      </c>
      <c r="H984" s="2" t="s">
        <v>14</v>
      </c>
      <c r="I984" s="4">
        <v>43649.853472222225</v>
      </c>
      <c r="J984" s="2" t="s">
        <v>4540</v>
      </c>
    </row>
    <row r="985" spans="1:10" ht="135" x14ac:dyDescent="0.25">
      <c r="A985" s="2" t="s">
        <v>51</v>
      </c>
      <c r="B985" s="2">
        <v>956.95304399999998</v>
      </c>
      <c r="C985" s="2" t="s">
        <v>8165</v>
      </c>
      <c r="D985" s="2" t="s">
        <v>8164</v>
      </c>
      <c r="E985" s="2" t="s">
        <v>69</v>
      </c>
      <c r="F985" s="3">
        <v>42744</v>
      </c>
      <c r="G985" s="2" t="str">
        <f>"9780253025050"</f>
        <v>9780253025050</v>
      </c>
      <c r="H985" s="2" t="s">
        <v>14</v>
      </c>
      <c r="I985" s="4">
        <v>43345.584722222222</v>
      </c>
      <c r="J985" s="2" t="s">
        <v>8166</v>
      </c>
    </row>
    <row r="986" spans="1:10" ht="135" x14ac:dyDescent="0.25">
      <c r="A986" s="2" t="s">
        <v>51</v>
      </c>
      <c r="B986" s="2">
        <v>973.93209200000001</v>
      </c>
      <c r="C986" s="2" t="s">
        <v>12266</v>
      </c>
      <c r="D986" s="2" t="s">
        <v>12265</v>
      </c>
      <c r="E986" s="2" t="s">
        <v>69</v>
      </c>
      <c r="F986" s="3">
        <v>42590</v>
      </c>
      <c r="G986" s="2" t="str">
        <f>"9780253021151"</f>
        <v>9780253021151</v>
      </c>
      <c r="H986" s="2" t="s">
        <v>14</v>
      </c>
      <c r="I986" s="4">
        <v>42824.386111111111</v>
      </c>
      <c r="J986" s="2" t="s">
        <v>12267</v>
      </c>
    </row>
    <row r="987" spans="1:10" ht="210" x14ac:dyDescent="0.25">
      <c r="A987" s="2" t="s">
        <v>51</v>
      </c>
      <c r="B987" s="2" t="s">
        <v>4554</v>
      </c>
      <c r="C987" s="2" t="s">
        <v>4555</v>
      </c>
      <c r="D987" s="2" t="s">
        <v>4553</v>
      </c>
      <c r="E987" s="2" t="s">
        <v>1434</v>
      </c>
      <c r="F987" s="3">
        <v>42856</v>
      </c>
      <c r="G987" s="2" t="str">
        <f>"9789633861523"</f>
        <v>9789633861523</v>
      </c>
      <c r="H987" s="2" t="s">
        <v>14</v>
      </c>
      <c r="I987" s="4">
        <v>43647.967361111114</v>
      </c>
      <c r="J987" s="2" t="s">
        <v>4556</v>
      </c>
    </row>
    <row r="988" spans="1:10" ht="135" x14ac:dyDescent="0.25">
      <c r="A988" s="2" t="s">
        <v>51</v>
      </c>
      <c r="B988" s="2" t="s">
        <v>12574</v>
      </c>
      <c r="C988" s="2" t="s">
        <v>12575</v>
      </c>
      <c r="D988" s="2" t="s">
        <v>12573</v>
      </c>
      <c r="E988" s="2" t="s">
        <v>4660</v>
      </c>
      <c r="F988" s="3">
        <v>40830</v>
      </c>
      <c r="G988" s="2" t="str">
        <f>"9780813134178"</f>
        <v>9780813134178</v>
      </c>
      <c r="H988" s="2" t="s">
        <v>14</v>
      </c>
      <c r="I988" s="4">
        <v>42794.714583333334</v>
      </c>
      <c r="J988" s="2" t="s">
        <v>12576</v>
      </c>
    </row>
    <row r="989" spans="1:10" ht="135" x14ac:dyDescent="0.25">
      <c r="A989" s="2" t="s">
        <v>51</v>
      </c>
      <c r="B989" s="2">
        <v>967.80399999999997</v>
      </c>
      <c r="C989" s="2" t="s">
        <v>5874</v>
      </c>
      <c r="D989" s="2" t="s">
        <v>5873</v>
      </c>
      <c r="E989" s="2" t="s">
        <v>1072</v>
      </c>
      <c r="F989" s="3">
        <v>39583</v>
      </c>
      <c r="G989" s="2" t="str">
        <f>"9789987081059"</f>
        <v>9789987081059</v>
      </c>
      <c r="H989" s="2" t="s">
        <v>14</v>
      </c>
      <c r="I989" s="4">
        <v>43563.544444444444</v>
      </c>
      <c r="J989" s="2" t="s">
        <v>5875</v>
      </c>
    </row>
    <row r="990" spans="1:10" ht="135" x14ac:dyDescent="0.25">
      <c r="A990" s="2" t="s">
        <v>51</v>
      </c>
      <c r="B990" s="2" t="s">
        <v>12666</v>
      </c>
      <c r="C990" s="2" t="s">
        <v>12667</v>
      </c>
      <c r="D990" s="2" t="s">
        <v>12665</v>
      </c>
      <c r="E990" s="2" t="s">
        <v>4660</v>
      </c>
      <c r="F990" s="3">
        <v>35005</v>
      </c>
      <c r="G990" s="2" t="str">
        <f>"9780813156675"</f>
        <v>9780813156675</v>
      </c>
      <c r="H990" s="2" t="s">
        <v>14</v>
      </c>
      <c r="I990" s="4">
        <v>42785.575694444444</v>
      </c>
      <c r="J990" s="2" t="s">
        <v>12668</v>
      </c>
    </row>
    <row r="991" spans="1:10" ht="135" x14ac:dyDescent="0.25">
      <c r="A991" s="2" t="s">
        <v>51</v>
      </c>
      <c r="B991" s="2" t="s">
        <v>6176</v>
      </c>
      <c r="C991" s="2" t="s">
        <v>6177</v>
      </c>
      <c r="D991" s="2" t="s">
        <v>6175</v>
      </c>
      <c r="E991" s="2" t="s">
        <v>54</v>
      </c>
      <c r="F991" s="3">
        <v>40639</v>
      </c>
      <c r="G991" s="2" t="str">
        <f>"9780804777513"</f>
        <v>9780804777513</v>
      </c>
      <c r="H991" s="2" t="s">
        <v>14</v>
      </c>
      <c r="I991" s="4">
        <v>43535.452777777777</v>
      </c>
      <c r="J991" s="2" t="s">
        <v>6178</v>
      </c>
    </row>
    <row r="992" spans="1:10" ht="135" x14ac:dyDescent="0.25">
      <c r="A992" s="2" t="s">
        <v>51</v>
      </c>
      <c r="D992" s="2" t="s">
        <v>6449</v>
      </c>
      <c r="E992" s="2" t="s">
        <v>54</v>
      </c>
      <c r="F992" s="3">
        <v>43494</v>
      </c>
      <c r="G992" s="2" t="str">
        <f>"9781503607682"</f>
        <v>9781503607682</v>
      </c>
      <c r="H992" s="2" t="s">
        <v>14</v>
      </c>
      <c r="I992" s="4">
        <v>43517.430555555555</v>
      </c>
      <c r="J992" s="2" t="s">
        <v>6450</v>
      </c>
    </row>
    <row r="993" spans="1:10" ht="135" x14ac:dyDescent="0.25">
      <c r="A993" s="2" t="s">
        <v>51</v>
      </c>
      <c r="B993" s="2" t="s">
        <v>11412</v>
      </c>
      <c r="C993" s="2" t="s">
        <v>11413</v>
      </c>
      <c r="D993" s="2" t="s">
        <v>11411</v>
      </c>
      <c r="E993" s="2" t="s">
        <v>256</v>
      </c>
      <c r="F993" s="3">
        <v>38411</v>
      </c>
      <c r="G993" s="2" t="str">
        <f>"9780896804128"</f>
        <v>9780896804128</v>
      </c>
      <c r="H993" s="2" t="s">
        <v>14</v>
      </c>
      <c r="I993" s="4">
        <v>42975.425694444442</v>
      </c>
      <c r="J993" s="2" t="s">
        <v>11414</v>
      </c>
    </row>
    <row r="994" spans="1:10" ht="135" x14ac:dyDescent="0.25">
      <c r="A994" s="2" t="s">
        <v>51</v>
      </c>
      <c r="B994" s="2" t="s">
        <v>2322</v>
      </c>
      <c r="C994" s="2" t="s">
        <v>2323</v>
      </c>
      <c r="D994" s="2" t="s">
        <v>2321</v>
      </c>
      <c r="E994" s="2" t="s">
        <v>322</v>
      </c>
      <c r="F994" s="3">
        <v>41927</v>
      </c>
      <c r="G994" s="2" t="str">
        <f>"9780820347844"</f>
        <v>9780820347844</v>
      </c>
      <c r="H994" s="2" t="s">
        <v>14</v>
      </c>
      <c r="I994" s="4">
        <v>43893.556944444441</v>
      </c>
      <c r="J994" s="2" t="s">
        <v>2324</v>
      </c>
    </row>
    <row r="995" spans="1:10" ht="150" x14ac:dyDescent="0.25">
      <c r="A995" s="2" t="s">
        <v>51</v>
      </c>
      <c r="B995" s="2">
        <v>977.00496999999996</v>
      </c>
      <c r="C995" s="2" t="s">
        <v>2276</v>
      </c>
      <c r="D995" s="2" t="s">
        <v>2275</v>
      </c>
      <c r="E995" s="2" t="s">
        <v>256</v>
      </c>
      <c r="F995" s="3">
        <v>43269</v>
      </c>
      <c r="G995" s="2" t="str">
        <f>"9780821446331"</f>
        <v>9780821446331</v>
      </c>
      <c r="H995" s="2" t="s">
        <v>14</v>
      </c>
      <c r="I995" s="4">
        <v>43896.070833333331</v>
      </c>
      <c r="J995" s="2" t="s">
        <v>2277</v>
      </c>
    </row>
    <row r="996" spans="1:10" ht="135" x14ac:dyDescent="0.25">
      <c r="A996" s="2" t="s">
        <v>51</v>
      </c>
      <c r="B996" s="2">
        <v>972.67</v>
      </c>
      <c r="C996" s="2" t="s">
        <v>6072</v>
      </c>
      <c r="D996" s="2" t="s">
        <v>6071</v>
      </c>
      <c r="E996" s="2" t="s">
        <v>130</v>
      </c>
      <c r="F996" s="3">
        <v>42647</v>
      </c>
      <c r="G996" s="2" t="str">
        <f>"9780813055893"</f>
        <v>9780813055893</v>
      </c>
      <c r="H996" s="2" t="s">
        <v>14</v>
      </c>
      <c r="I996" s="4">
        <v>43543.314583333333</v>
      </c>
      <c r="J996" s="2" t="s">
        <v>6073</v>
      </c>
    </row>
    <row r="997" spans="1:10" ht="135" x14ac:dyDescent="0.25">
      <c r="A997" s="2" t="s">
        <v>51</v>
      </c>
      <c r="B997" s="2" t="s">
        <v>8006</v>
      </c>
      <c r="C997" s="2" t="s">
        <v>8007</v>
      </c>
      <c r="D997" s="2" t="s">
        <v>8004</v>
      </c>
      <c r="E997" s="2" t="s">
        <v>8005</v>
      </c>
      <c r="F997" s="3">
        <v>41963</v>
      </c>
      <c r="G997" s="2" t="str">
        <f>"9781575068961"</f>
        <v>9781575068961</v>
      </c>
      <c r="H997" s="2" t="s">
        <v>14</v>
      </c>
      <c r="I997" s="4">
        <v>43365.388888888891</v>
      </c>
      <c r="J997" s="2" t="s">
        <v>8008</v>
      </c>
    </row>
    <row r="998" spans="1:10" ht="135" x14ac:dyDescent="0.25">
      <c r="A998" s="2" t="s">
        <v>51</v>
      </c>
      <c r="B998" s="2">
        <v>972.02</v>
      </c>
      <c r="C998" s="2" t="s">
        <v>165</v>
      </c>
      <c r="D998" s="2" t="s">
        <v>163</v>
      </c>
      <c r="E998" s="2" t="s">
        <v>164</v>
      </c>
      <c r="F998" s="3">
        <v>43586</v>
      </c>
      <c r="G998" s="2" t="str">
        <f>"9780826360274"</f>
        <v>9780826360274</v>
      </c>
      <c r="H998" s="2" t="s">
        <v>14</v>
      </c>
      <c r="I998" s="4">
        <v>44066.661111111112</v>
      </c>
      <c r="J998" s="2" t="s">
        <v>166</v>
      </c>
    </row>
    <row r="999" spans="1:10" ht="135" x14ac:dyDescent="0.25">
      <c r="A999" s="2" t="s">
        <v>51</v>
      </c>
      <c r="B999" s="2">
        <v>951.05</v>
      </c>
      <c r="C999" s="2" t="s">
        <v>4532</v>
      </c>
      <c r="D999" s="2" t="s">
        <v>4531</v>
      </c>
      <c r="E999" s="2" t="s">
        <v>221</v>
      </c>
      <c r="F999" s="3">
        <v>43564</v>
      </c>
      <c r="G999" s="2" t="str">
        <f>"9789888455614"</f>
        <v>9789888455614</v>
      </c>
      <c r="H999" s="2" t="s">
        <v>14</v>
      </c>
      <c r="I999" s="4">
        <v>43651.899305555555</v>
      </c>
      <c r="J999" s="2" t="s">
        <v>4533</v>
      </c>
    </row>
    <row r="1000" spans="1:10" ht="135" x14ac:dyDescent="0.25">
      <c r="A1000" s="2" t="s">
        <v>51</v>
      </c>
      <c r="B1000" s="2">
        <v>972</v>
      </c>
      <c r="C1000" s="2" t="s">
        <v>5484</v>
      </c>
      <c r="D1000" s="2" t="s">
        <v>5483</v>
      </c>
      <c r="E1000" s="2" t="s">
        <v>526</v>
      </c>
      <c r="F1000" s="3">
        <v>43446</v>
      </c>
      <c r="G1000" s="2" t="str">
        <f>"9781477316085"</f>
        <v>9781477316085</v>
      </c>
      <c r="H1000" s="2" t="s">
        <v>14</v>
      </c>
      <c r="I1000" s="4">
        <v>43594.664583333331</v>
      </c>
      <c r="J1000" s="2" t="s">
        <v>5485</v>
      </c>
    </row>
    <row r="1001" spans="1:10" ht="180" x14ac:dyDescent="0.25">
      <c r="A1001" s="2" t="s">
        <v>51</v>
      </c>
      <c r="B1001" s="2">
        <v>946.90419999999995</v>
      </c>
      <c r="C1001" s="2" t="s">
        <v>4897</v>
      </c>
      <c r="D1001" s="2" t="s">
        <v>4895</v>
      </c>
      <c r="E1001" s="2" t="s">
        <v>4896</v>
      </c>
      <c r="F1001" s="3">
        <v>41627</v>
      </c>
      <c r="G1001" s="2" t="str">
        <f>"9781910294307"</f>
        <v>9781910294307</v>
      </c>
      <c r="H1001" s="2" t="s">
        <v>14</v>
      </c>
      <c r="I1001" s="4">
        <v>43619.036111111112</v>
      </c>
      <c r="J1001" s="2" t="s">
        <v>4898</v>
      </c>
    </row>
    <row r="1002" spans="1:10" ht="135" x14ac:dyDescent="0.25">
      <c r="A1002" s="2" t="s">
        <v>51</v>
      </c>
      <c r="B1002" s="2" t="s">
        <v>4837</v>
      </c>
      <c r="C1002" s="2" t="s">
        <v>4838</v>
      </c>
      <c r="D1002" s="2" t="s">
        <v>4836</v>
      </c>
      <c r="E1002" s="2" t="s">
        <v>526</v>
      </c>
      <c r="F1002" s="3">
        <v>42323</v>
      </c>
      <c r="G1002" s="2" t="str">
        <f>"9781477308592"</f>
        <v>9781477308592</v>
      </c>
      <c r="H1002" s="2" t="s">
        <v>14</v>
      </c>
      <c r="I1002" s="4">
        <v>43623.803472222222</v>
      </c>
      <c r="J1002" s="2" t="s">
        <v>4839</v>
      </c>
    </row>
    <row r="1003" spans="1:10" ht="135" x14ac:dyDescent="0.25">
      <c r="A1003" s="2" t="s">
        <v>51</v>
      </c>
      <c r="B1003" s="2">
        <v>943.90544</v>
      </c>
      <c r="C1003" s="2" t="s">
        <v>10175</v>
      </c>
      <c r="D1003" s="2" t="s">
        <v>10174</v>
      </c>
      <c r="E1003" s="2" t="s">
        <v>627</v>
      </c>
      <c r="F1003" s="3">
        <v>42444</v>
      </c>
      <c r="G1003" s="2" t="str">
        <f>"9786155513558"</f>
        <v>9786155513558</v>
      </c>
      <c r="H1003" s="2" t="s">
        <v>14</v>
      </c>
      <c r="I1003" s="4">
        <v>43087.927083333336</v>
      </c>
      <c r="J1003" s="2" t="s">
        <v>10176</v>
      </c>
    </row>
    <row r="1004" spans="1:10" ht="135" x14ac:dyDescent="0.25">
      <c r="A1004" s="2" t="s">
        <v>51</v>
      </c>
      <c r="B1004" s="2" t="s">
        <v>3160</v>
      </c>
      <c r="C1004" s="2" t="s">
        <v>3161</v>
      </c>
      <c r="D1004" s="2" t="s">
        <v>3159</v>
      </c>
      <c r="E1004" s="2" t="s">
        <v>1434</v>
      </c>
      <c r="F1004" s="3">
        <v>42856</v>
      </c>
      <c r="G1004" s="2" t="str">
        <f>"9789633861882"</f>
        <v>9789633861882</v>
      </c>
      <c r="H1004" s="2" t="s">
        <v>14</v>
      </c>
      <c r="I1004" s="4">
        <v>43802.818055555559</v>
      </c>
      <c r="J1004" s="2" t="s">
        <v>3162</v>
      </c>
    </row>
    <row r="1005" spans="1:10" ht="180" x14ac:dyDescent="0.25">
      <c r="A1005" s="2" t="s">
        <v>51</v>
      </c>
      <c r="B1005" s="2">
        <v>962.024</v>
      </c>
      <c r="C1005" s="2" t="s">
        <v>1742</v>
      </c>
      <c r="D1005" s="2" t="s">
        <v>1740</v>
      </c>
      <c r="E1005" s="2" t="s">
        <v>1741</v>
      </c>
      <c r="F1005" s="3">
        <v>41789</v>
      </c>
      <c r="G1005" s="2" t="str">
        <f>"9780857724243"</f>
        <v>9780857724243</v>
      </c>
      <c r="H1005" s="2" t="s">
        <v>14</v>
      </c>
      <c r="I1005" s="4">
        <v>43929.709722222222</v>
      </c>
      <c r="J1005" s="2" t="s">
        <v>1743</v>
      </c>
    </row>
    <row r="1006" spans="1:10" ht="135" x14ac:dyDescent="0.25">
      <c r="A1006" s="2" t="s">
        <v>51</v>
      </c>
      <c r="B1006" s="2" t="s">
        <v>4496</v>
      </c>
      <c r="C1006" s="2" t="s">
        <v>4497</v>
      </c>
      <c r="D1006" s="2" t="s">
        <v>4495</v>
      </c>
      <c r="E1006" s="2" t="s">
        <v>156</v>
      </c>
      <c r="F1006" s="3">
        <v>43500</v>
      </c>
      <c r="G1006" s="2" t="str">
        <f>"9781469645414"</f>
        <v>9781469645414</v>
      </c>
      <c r="H1006" s="2" t="s">
        <v>14</v>
      </c>
      <c r="I1006" s="4">
        <v>43660.800000000003</v>
      </c>
      <c r="J1006" s="2" t="s">
        <v>4498</v>
      </c>
    </row>
    <row r="1007" spans="1:10" ht="135" x14ac:dyDescent="0.25">
      <c r="A1007" s="2" t="s">
        <v>51</v>
      </c>
      <c r="B1007" s="2">
        <v>966.90499999999997</v>
      </c>
      <c r="C1007" s="2" t="s">
        <v>9326</v>
      </c>
      <c r="D1007" s="2" t="s">
        <v>9325</v>
      </c>
      <c r="E1007" s="2" t="s">
        <v>328</v>
      </c>
      <c r="F1007" s="3">
        <v>41871</v>
      </c>
      <c r="G1007" s="2" t="str">
        <f>"9780739191170"</f>
        <v>9780739191170</v>
      </c>
      <c r="H1007" s="2" t="s">
        <v>14</v>
      </c>
      <c r="I1007" s="4">
        <v>43185.637499999997</v>
      </c>
      <c r="J1007" s="2" t="s">
        <v>9327</v>
      </c>
    </row>
    <row r="1008" spans="1:10" ht="135" x14ac:dyDescent="0.25">
      <c r="A1008" s="2" t="s">
        <v>51</v>
      </c>
      <c r="B1008" s="2">
        <v>973.71130000000005</v>
      </c>
      <c r="C1008" s="2" t="s">
        <v>10389</v>
      </c>
      <c r="D1008" s="2" t="s">
        <v>10388</v>
      </c>
      <c r="E1008" s="2" t="s">
        <v>4660</v>
      </c>
      <c r="F1008" s="3">
        <v>38464</v>
      </c>
      <c r="G1008" s="2" t="str">
        <f>"9780813158310"</f>
        <v>9780813158310</v>
      </c>
      <c r="H1008" s="2" t="s">
        <v>14</v>
      </c>
      <c r="I1008" s="4">
        <v>43061.879166666666</v>
      </c>
      <c r="J1008" s="2" t="s">
        <v>10390</v>
      </c>
    </row>
    <row r="1009" spans="1:10" ht="135" x14ac:dyDescent="0.25">
      <c r="A1009" s="2" t="s">
        <v>51</v>
      </c>
      <c r="B1009" s="2" t="s">
        <v>6230</v>
      </c>
      <c r="C1009" s="2" t="s">
        <v>6231</v>
      </c>
      <c r="D1009" s="2" t="s">
        <v>6229</v>
      </c>
      <c r="E1009" s="2" t="s">
        <v>526</v>
      </c>
      <c r="F1009" s="3">
        <v>43282</v>
      </c>
      <c r="G1009" s="2" t="str">
        <f>"9781477315842"</f>
        <v>9781477315842</v>
      </c>
      <c r="H1009" s="2" t="s">
        <v>14</v>
      </c>
      <c r="I1009" s="4">
        <v>43531.443749999999</v>
      </c>
      <c r="J1009" s="2" t="s">
        <v>6232</v>
      </c>
    </row>
    <row r="1010" spans="1:10" ht="135" x14ac:dyDescent="0.25">
      <c r="A1010" s="2" t="s">
        <v>51</v>
      </c>
      <c r="B1010" s="2">
        <v>973.3</v>
      </c>
      <c r="C1010" s="2" t="s">
        <v>3766</v>
      </c>
      <c r="D1010" s="2" t="s">
        <v>3765</v>
      </c>
      <c r="E1010" s="2" t="s">
        <v>28</v>
      </c>
      <c r="F1010" s="3">
        <v>42747</v>
      </c>
      <c r="G1010" s="2" t="str">
        <f>"9780813939575"</f>
        <v>9780813939575</v>
      </c>
      <c r="H1010" s="2" t="s">
        <v>14</v>
      </c>
      <c r="I1010" s="4">
        <v>43756.476388888892</v>
      </c>
      <c r="J1010" s="2" t="s">
        <v>3767</v>
      </c>
    </row>
    <row r="1011" spans="1:10" ht="135" x14ac:dyDescent="0.25">
      <c r="A1011" s="2" t="s">
        <v>51</v>
      </c>
      <c r="B1011" s="2">
        <v>947.08609200000001</v>
      </c>
      <c r="C1011" s="2" t="s">
        <v>1995</v>
      </c>
      <c r="D1011" s="2" t="s">
        <v>1994</v>
      </c>
      <c r="E1011" s="2" t="s">
        <v>268</v>
      </c>
      <c r="F1011" s="3">
        <v>43410</v>
      </c>
      <c r="G1011" s="2" t="str">
        <f>"9780815732778"</f>
        <v>9780815732778</v>
      </c>
      <c r="H1011" s="2" t="s">
        <v>14</v>
      </c>
      <c r="I1011" s="4">
        <v>43918.634027777778</v>
      </c>
      <c r="J1011" s="2" t="s">
        <v>1996</v>
      </c>
    </row>
    <row r="1012" spans="1:10" ht="135" x14ac:dyDescent="0.25">
      <c r="A1012" s="2" t="s">
        <v>51</v>
      </c>
      <c r="B1012" s="2">
        <v>943</v>
      </c>
      <c r="C1012" s="2" t="s">
        <v>4572</v>
      </c>
      <c r="D1012" s="2" t="s">
        <v>4571</v>
      </c>
      <c r="E1012" s="2" t="s">
        <v>1434</v>
      </c>
      <c r="F1012" s="3">
        <v>42384</v>
      </c>
      <c r="G1012" s="2" t="str">
        <f>"9789633861387"</f>
        <v>9789633861387</v>
      </c>
      <c r="H1012" s="2" t="s">
        <v>14</v>
      </c>
      <c r="I1012" s="4">
        <v>43647.932638888888</v>
      </c>
      <c r="J1012" s="2" t="s">
        <v>4573</v>
      </c>
    </row>
    <row r="1013" spans="1:10" ht="135" x14ac:dyDescent="0.25">
      <c r="A1013" s="2" t="s">
        <v>51</v>
      </c>
      <c r="B1013" s="2" t="s">
        <v>8839</v>
      </c>
      <c r="C1013" s="2" t="s">
        <v>8840</v>
      </c>
      <c r="D1013" s="2" t="s">
        <v>8838</v>
      </c>
      <c r="E1013" s="2" t="s">
        <v>6704</v>
      </c>
      <c r="F1013" s="3">
        <v>42153</v>
      </c>
      <c r="G1013" s="2" t="str">
        <f>"9781609091828"</f>
        <v>9781609091828</v>
      </c>
      <c r="H1013" s="2" t="s">
        <v>14</v>
      </c>
      <c r="I1013" s="4">
        <v>43248.72152777778</v>
      </c>
      <c r="J1013" s="2" t="s">
        <v>8841</v>
      </c>
    </row>
    <row r="1014" spans="1:10" ht="135" x14ac:dyDescent="0.25">
      <c r="A1014" s="2" t="s">
        <v>51</v>
      </c>
      <c r="B1014" s="2">
        <v>930.1</v>
      </c>
      <c r="C1014" s="2" t="s">
        <v>4675</v>
      </c>
      <c r="D1014" s="2" t="s">
        <v>4674</v>
      </c>
      <c r="E1014" s="2" t="s">
        <v>130</v>
      </c>
      <c r="F1014" s="3">
        <v>43039</v>
      </c>
      <c r="G1014" s="2" t="str">
        <f>"9780813052052"</f>
        <v>9780813052052</v>
      </c>
      <c r="H1014" s="2" t="s">
        <v>14</v>
      </c>
      <c r="I1014" s="4">
        <v>43638.605555555558</v>
      </c>
      <c r="J1014" s="2" t="s">
        <v>4676</v>
      </c>
    </row>
    <row r="1015" spans="1:10" ht="135" x14ac:dyDescent="0.25">
      <c r="A1015" s="2" t="s">
        <v>51</v>
      </c>
      <c r="C1015" s="2" t="s">
        <v>2910</v>
      </c>
      <c r="D1015" s="2" t="s">
        <v>2908</v>
      </c>
      <c r="E1015" s="2" t="s">
        <v>2909</v>
      </c>
      <c r="F1015" s="3">
        <v>42626</v>
      </c>
      <c r="G1015" s="2" t="str">
        <f>"9789785431162"</f>
        <v>9789785431162</v>
      </c>
      <c r="H1015" s="2" t="s">
        <v>14</v>
      </c>
      <c r="I1015" s="4">
        <v>43844.560416666667</v>
      </c>
      <c r="J1015" s="2" t="s">
        <v>2911</v>
      </c>
    </row>
    <row r="1016" spans="1:10" ht="135" x14ac:dyDescent="0.25">
      <c r="A1016" s="2" t="s">
        <v>51</v>
      </c>
      <c r="B1016" s="2">
        <v>973.04924000000005</v>
      </c>
      <c r="C1016" s="2" t="s">
        <v>3498</v>
      </c>
      <c r="D1016" s="2" t="s">
        <v>3497</v>
      </c>
      <c r="E1016" s="2" t="s">
        <v>23</v>
      </c>
      <c r="F1016" s="3">
        <v>43059</v>
      </c>
      <c r="G1016" s="2" t="str">
        <f>"9780814341674"</f>
        <v>9780814341674</v>
      </c>
      <c r="H1016" s="2" t="s">
        <v>14</v>
      </c>
      <c r="I1016" s="4">
        <v>43779.445833333331</v>
      </c>
      <c r="J1016" s="2" t="s">
        <v>3499</v>
      </c>
    </row>
    <row r="1017" spans="1:10" ht="135" x14ac:dyDescent="0.25">
      <c r="A1017" s="2" t="s">
        <v>51</v>
      </c>
      <c r="B1017" s="2">
        <v>973.8</v>
      </c>
      <c r="C1017" s="2" t="s">
        <v>12002</v>
      </c>
      <c r="D1017" s="2" t="s">
        <v>12001</v>
      </c>
      <c r="E1017" s="2" t="s">
        <v>455</v>
      </c>
      <c r="F1017" s="3">
        <v>42578</v>
      </c>
      <c r="G1017" s="2" t="str">
        <f>"9781631012303"</f>
        <v>9781631012303</v>
      </c>
      <c r="H1017" s="2" t="s">
        <v>14</v>
      </c>
      <c r="I1017" s="4">
        <v>42863.466666666667</v>
      </c>
      <c r="J1017" s="2" t="s">
        <v>12003</v>
      </c>
    </row>
    <row r="1018" spans="1:10" ht="135" x14ac:dyDescent="0.25">
      <c r="A1018" s="2" t="s">
        <v>51</v>
      </c>
      <c r="B1018" s="2" t="s">
        <v>6797</v>
      </c>
      <c r="C1018" s="2" t="s">
        <v>6798</v>
      </c>
      <c r="D1018" s="2" t="s">
        <v>6796</v>
      </c>
      <c r="E1018" s="2" t="s">
        <v>54</v>
      </c>
      <c r="F1018" s="3">
        <v>42375</v>
      </c>
      <c r="G1018" s="2" t="str">
        <f>"9780804797191"</f>
        <v>9780804797191</v>
      </c>
      <c r="H1018" s="2" t="s">
        <v>14</v>
      </c>
      <c r="I1018" s="4">
        <v>43485.629166666666</v>
      </c>
      <c r="J1018" s="2" t="s">
        <v>6799</v>
      </c>
    </row>
    <row r="1019" spans="1:10" ht="135" x14ac:dyDescent="0.25">
      <c r="A1019" s="2" t="s">
        <v>51</v>
      </c>
      <c r="B1019" s="2">
        <v>959.70299999999997</v>
      </c>
      <c r="C1019" s="2" t="s">
        <v>7300</v>
      </c>
      <c r="D1019" s="2" t="s">
        <v>7299</v>
      </c>
      <c r="E1019" s="2" t="s">
        <v>256</v>
      </c>
      <c r="F1019" s="3">
        <v>31138</v>
      </c>
      <c r="G1019" s="2" t="str">
        <f>"9780896804838"</f>
        <v>9780896804838</v>
      </c>
      <c r="H1019" s="2" t="s">
        <v>14</v>
      </c>
      <c r="I1019" s="4">
        <v>43426.697916666664</v>
      </c>
      <c r="J1019" s="2" t="s">
        <v>7301</v>
      </c>
    </row>
    <row r="1020" spans="1:10" ht="135" x14ac:dyDescent="0.25">
      <c r="A1020" s="2" t="s">
        <v>51</v>
      </c>
      <c r="B1020" s="2">
        <v>993.02092000000005</v>
      </c>
      <c r="C1020" s="2" t="s">
        <v>9830</v>
      </c>
      <c r="D1020" s="2" t="s">
        <v>9829</v>
      </c>
      <c r="E1020" s="2" t="s">
        <v>2621</v>
      </c>
      <c r="F1020" s="3">
        <v>41579</v>
      </c>
      <c r="G1020" s="2" t="str">
        <f>"9780864739605"</f>
        <v>9780864739605</v>
      </c>
      <c r="H1020" s="2" t="s">
        <v>14</v>
      </c>
      <c r="I1020" s="4">
        <v>43126.603472222225</v>
      </c>
      <c r="J1020" s="2" t="s">
        <v>9831</v>
      </c>
    </row>
    <row r="1021" spans="1:10" ht="135" x14ac:dyDescent="0.25">
      <c r="A1021" s="2" t="s">
        <v>51</v>
      </c>
      <c r="B1021" s="2" t="s">
        <v>5870</v>
      </c>
      <c r="C1021" s="2" t="s">
        <v>5871</v>
      </c>
      <c r="D1021" s="2" t="s">
        <v>5869</v>
      </c>
      <c r="E1021" s="2" t="s">
        <v>69</v>
      </c>
      <c r="F1021" s="3">
        <v>42219</v>
      </c>
      <c r="G1021" s="2" t="str">
        <f>"9780253017178"</f>
        <v>9780253017178</v>
      </c>
      <c r="H1021" s="2" t="s">
        <v>14</v>
      </c>
      <c r="I1021" s="4">
        <v>43563.624305555553</v>
      </c>
      <c r="J1021" s="2" t="s">
        <v>5872</v>
      </c>
    </row>
    <row r="1022" spans="1:10" ht="135" x14ac:dyDescent="0.25">
      <c r="A1022" s="2" t="s">
        <v>51</v>
      </c>
      <c r="B1022" s="2">
        <v>966.9</v>
      </c>
      <c r="C1022" s="2" t="s">
        <v>3597</v>
      </c>
      <c r="D1022" s="2" t="s">
        <v>3596</v>
      </c>
      <c r="E1022" s="2" t="s">
        <v>212</v>
      </c>
      <c r="F1022" s="3">
        <v>42796</v>
      </c>
      <c r="G1022" s="2" t="str">
        <f>"9789956764549"</f>
        <v>9789956764549</v>
      </c>
      <c r="H1022" s="2" t="s">
        <v>14</v>
      </c>
      <c r="I1022" s="4">
        <v>43772.692361111112</v>
      </c>
      <c r="J1022" s="2" t="s">
        <v>3598</v>
      </c>
    </row>
    <row r="1023" spans="1:10" ht="195" x14ac:dyDescent="0.25">
      <c r="A1023" s="2" t="s">
        <v>51</v>
      </c>
      <c r="B1023" s="2" t="s">
        <v>1159</v>
      </c>
      <c r="D1023" s="2" t="s">
        <v>1158</v>
      </c>
      <c r="E1023" s="2" t="s">
        <v>221</v>
      </c>
      <c r="F1023" s="3">
        <v>43845</v>
      </c>
      <c r="G1023" s="2" t="str">
        <f>"9789882204874"</f>
        <v>9789882204874</v>
      </c>
      <c r="H1023" s="2" t="s">
        <v>14</v>
      </c>
      <c r="I1023" s="4">
        <v>43959.382638888892</v>
      </c>
      <c r="J1023" s="2" t="s">
        <v>1160</v>
      </c>
    </row>
    <row r="1024" spans="1:10" ht="135" x14ac:dyDescent="0.25">
      <c r="A1024" s="2" t="s">
        <v>51</v>
      </c>
      <c r="C1024" s="2" t="s">
        <v>10487</v>
      </c>
      <c r="D1024" s="2" t="s">
        <v>10486</v>
      </c>
      <c r="E1024" s="2" t="s">
        <v>1072</v>
      </c>
      <c r="F1024" s="3">
        <v>42314</v>
      </c>
      <c r="G1024" s="2" t="str">
        <f>"9789987753475"</f>
        <v>9789987753475</v>
      </c>
      <c r="H1024" s="2" t="s">
        <v>14</v>
      </c>
      <c r="I1024" s="4">
        <v>43054.661805555559</v>
      </c>
      <c r="J1024" s="2" t="s">
        <v>10488</v>
      </c>
    </row>
    <row r="1025" spans="1:10" ht="150" x14ac:dyDescent="0.25">
      <c r="A1025" s="2" t="s">
        <v>51</v>
      </c>
      <c r="B1025" s="2" t="s">
        <v>9863</v>
      </c>
      <c r="C1025" s="2" t="s">
        <v>9864</v>
      </c>
      <c r="D1025" s="2" t="s">
        <v>9862</v>
      </c>
      <c r="E1025" s="2" t="s">
        <v>156</v>
      </c>
      <c r="F1025" s="3">
        <v>41897</v>
      </c>
      <c r="G1025" s="2" t="str">
        <f>"9781469618616"</f>
        <v>9781469618616</v>
      </c>
      <c r="H1025" s="2" t="s">
        <v>14</v>
      </c>
      <c r="I1025" s="4">
        <v>43124.002083333333</v>
      </c>
      <c r="J1025" s="2" t="s">
        <v>9865</v>
      </c>
    </row>
    <row r="1026" spans="1:10" ht="135" x14ac:dyDescent="0.25">
      <c r="A1026" s="2" t="s">
        <v>51</v>
      </c>
      <c r="B1026" s="2">
        <v>938.5</v>
      </c>
      <c r="C1026" s="2" t="s">
        <v>362</v>
      </c>
      <c r="D1026" s="2" t="s">
        <v>361</v>
      </c>
      <c r="E1026" s="2" t="s">
        <v>58</v>
      </c>
      <c r="F1026" s="3">
        <v>43781</v>
      </c>
      <c r="G1026" s="2" t="str">
        <f>"9780299322830"</f>
        <v>9780299322830</v>
      </c>
      <c r="H1026" s="2" t="s">
        <v>14</v>
      </c>
      <c r="I1026" s="4">
        <v>44034.378472222219</v>
      </c>
      <c r="J1026" s="2" t="s">
        <v>363</v>
      </c>
    </row>
    <row r="1027" spans="1:10" ht="135" x14ac:dyDescent="0.25">
      <c r="A1027" s="2" t="s">
        <v>51</v>
      </c>
      <c r="B1027" s="2" t="s">
        <v>7737</v>
      </c>
      <c r="C1027" s="2" t="s">
        <v>7738</v>
      </c>
      <c r="D1027" s="2" t="s">
        <v>7736</v>
      </c>
      <c r="E1027" s="2" t="s">
        <v>156</v>
      </c>
      <c r="F1027" s="3">
        <v>42164</v>
      </c>
      <c r="G1027" s="2" t="str">
        <f>"9781469622361"</f>
        <v>9781469622361</v>
      </c>
      <c r="H1027" s="2" t="s">
        <v>14</v>
      </c>
      <c r="I1027" s="4">
        <v>43395.392361111109</v>
      </c>
      <c r="J1027" s="2" t="s">
        <v>7739</v>
      </c>
    </row>
    <row r="1028" spans="1:10" ht="135" x14ac:dyDescent="0.25">
      <c r="A1028" s="2" t="s">
        <v>51</v>
      </c>
      <c r="B1028" s="2">
        <v>981.06</v>
      </c>
      <c r="C1028" s="2" t="s">
        <v>1840</v>
      </c>
      <c r="D1028" s="2" t="s">
        <v>1839</v>
      </c>
      <c r="E1028" s="2" t="s">
        <v>54</v>
      </c>
      <c r="F1028" s="3">
        <v>43249</v>
      </c>
      <c r="G1028" s="2" t="str">
        <f>"9781503605596"</f>
        <v>9781503605596</v>
      </c>
      <c r="H1028" s="2" t="s">
        <v>14</v>
      </c>
      <c r="I1028" s="4">
        <v>43924.659722222219</v>
      </c>
      <c r="J1028" s="2" t="s">
        <v>1841</v>
      </c>
    </row>
    <row r="1029" spans="1:10" ht="135" x14ac:dyDescent="0.25">
      <c r="A1029" s="2" t="s">
        <v>51</v>
      </c>
      <c r="B1029" s="2" t="s">
        <v>12333</v>
      </c>
      <c r="C1029" s="2" t="s">
        <v>12334</v>
      </c>
      <c r="D1029" s="2" t="s">
        <v>12332</v>
      </c>
      <c r="E1029" s="2" t="s">
        <v>130</v>
      </c>
      <c r="F1029" s="3">
        <v>41898</v>
      </c>
      <c r="G1029" s="2" t="str">
        <f>"9780813048765"</f>
        <v>9780813048765</v>
      </c>
      <c r="H1029" s="2" t="s">
        <v>14</v>
      </c>
      <c r="I1029" s="4">
        <v>42815.554166666669</v>
      </c>
      <c r="J1029" s="2" t="s">
        <v>12335</v>
      </c>
    </row>
    <row r="1030" spans="1:10" ht="135" x14ac:dyDescent="0.25">
      <c r="A1030" s="2" t="s">
        <v>51</v>
      </c>
      <c r="B1030" s="2">
        <v>995</v>
      </c>
      <c r="C1030" s="2" t="s">
        <v>1635</v>
      </c>
      <c r="D1030" s="2" t="s">
        <v>1634</v>
      </c>
      <c r="E1030" s="2" t="s">
        <v>54</v>
      </c>
      <c r="F1030" s="3">
        <v>43298</v>
      </c>
      <c r="G1030" s="2" t="str">
        <f>"9781503605954"</f>
        <v>9781503605954</v>
      </c>
      <c r="H1030" s="2" t="s">
        <v>14</v>
      </c>
      <c r="I1030" s="4">
        <v>43934.769444444442</v>
      </c>
      <c r="J1030" s="2" t="s">
        <v>1636</v>
      </c>
    </row>
    <row r="1031" spans="1:10" ht="135" x14ac:dyDescent="0.25">
      <c r="A1031" s="2" t="s">
        <v>51</v>
      </c>
      <c r="B1031" s="2">
        <v>930</v>
      </c>
      <c r="C1031" s="2" t="s">
        <v>10308</v>
      </c>
      <c r="D1031" s="2" t="s">
        <v>10307</v>
      </c>
      <c r="E1031" s="2" t="s">
        <v>130</v>
      </c>
      <c r="F1031" s="3">
        <v>42606</v>
      </c>
      <c r="G1031" s="2" t="str">
        <f>"9780813055886"</f>
        <v>9780813055886</v>
      </c>
      <c r="H1031" s="2" t="s">
        <v>14</v>
      </c>
      <c r="I1031" s="4">
        <v>43071.691666666666</v>
      </c>
      <c r="J1031" s="2" t="s">
        <v>10309</v>
      </c>
    </row>
    <row r="1032" spans="1:10" ht="135" x14ac:dyDescent="0.25">
      <c r="A1032" s="2" t="s">
        <v>51</v>
      </c>
      <c r="B1032" s="2" t="s">
        <v>8949</v>
      </c>
      <c r="C1032" s="2" t="s">
        <v>8950</v>
      </c>
      <c r="D1032" s="2" t="s">
        <v>8948</v>
      </c>
      <c r="E1032" s="2" t="s">
        <v>526</v>
      </c>
      <c r="F1032" s="3">
        <v>42577</v>
      </c>
      <c r="G1032" s="2" t="str">
        <f>"9781477310571"</f>
        <v>9781477310571</v>
      </c>
      <c r="H1032" s="2" t="s">
        <v>14</v>
      </c>
      <c r="I1032" s="4">
        <v>43236.882638888892</v>
      </c>
      <c r="J1032" s="2" t="s">
        <v>8951</v>
      </c>
    </row>
    <row r="1033" spans="1:10" ht="135" x14ac:dyDescent="0.25">
      <c r="A1033" s="2" t="s">
        <v>51</v>
      </c>
      <c r="B1033" s="2">
        <v>972.6</v>
      </c>
      <c r="C1033" s="2" t="s">
        <v>4286</v>
      </c>
      <c r="D1033" s="2" t="s">
        <v>4285</v>
      </c>
      <c r="E1033" s="2" t="s">
        <v>130</v>
      </c>
      <c r="F1033" s="3">
        <v>42472</v>
      </c>
      <c r="G1033" s="2" t="str">
        <f>"9780813063805"</f>
        <v>9780813063805</v>
      </c>
      <c r="H1033" s="2" t="s">
        <v>14</v>
      </c>
      <c r="I1033" s="4">
        <v>43685.406944444447</v>
      </c>
      <c r="J1033" s="2" t="s">
        <v>4287</v>
      </c>
    </row>
    <row r="1034" spans="1:10" ht="135" x14ac:dyDescent="0.25">
      <c r="A1034" s="2" t="s">
        <v>51</v>
      </c>
      <c r="B1034" s="2">
        <v>941.60799999999995</v>
      </c>
      <c r="C1034" s="2" t="s">
        <v>8871</v>
      </c>
      <c r="D1034" s="2" t="s">
        <v>8870</v>
      </c>
      <c r="E1034" s="2" t="s">
        <v>4660</v>
      </c>
      <c r="F1034" s="3">
        <v>36769</v>
      </c>
      <c r="G1034" s="2" t="str">
        <f>"9780813147772"</f>
        <v>9780813147772</v>
      </c>
      <c r="H1034" s="2" t="s">
        <v>14</v>
      </c>
      <c r="I1034" s="4">
        <v>43244.504861111112</v>
      </c>
      <c r="J1034" s="2" t="s">
        <v>8872</v>
      </c>
    </row>
    <row r="1035" spans="1:10" ht="135" x14ac:dyDescent="0.25">
      <c r="A1035" s="2" t="s">
        <v>51</v>
      </c>
      <c r="B1035" s="2">
        <v>968.91051091999998</v>
      </c>
      <c r="C1035" s="2" t="s">
        <v>6641</v>
      </c>
      <c r="D1035" s="2" t="s">
        <v>6640</v>
      </c>
      <c r="E1035" s="2" t="s">
        <v>256</v>
      </c>
      <c r="F1035" s="3">
        <v>43164</v>
      </c>
      <c r="G1035" s="2" t="str">
        <f>"9780821446386"</f>
        <v>9780821446386</v>
      </c>
      <c r="H1035" s="2" t="s">
        <v>14</v>
      </c>
      <c r="I1035" s="4">
        <v>43500.670138888891</v>
      </c>
      <c r="J1035" s="2" t="s">
        <v>6642</v>
      </c>
    </row>
    <row r="1036" spans="1:10" ht="135" x14ac:dyDescent="0.25">
      <c r="A1036" s="2" t="s">
        <v>51</v>
      </c>
      <c r="B1036" s="2">
        <v>973.92709200000002</v>
      </c>
      <c r="C1036" s="2" t="s">
        <v>1018</v>
      </c>
      <c r="D1036" s="2" t="s">
        <v>1016</v>
      </c>
      <c r="E1036" s="2" t="s">
        <v>1017</v>
      </c>
      <c r="F1036" s="3">
        <v>43405</v>
      </c>
      <c r="G1036" s="2" t="str">
        <f>"9781640121263"</f>
        <v>9781640121263</v>
      </c>
      <c r="H1036" s="2" t="s">
        <v>14</v>
      </c>
      <c r="I1036" s="4">
        <v>43969.53402777778</v>
      </c>
      <c r="J1036" s="2" t="s">
        <v>1019</v>
      </c>
    </row>
    <row r="1037" spans="1:10" ht="150" x14ac:dyDescent="0.25">
      <c r="A1037" s="2" t="s">
        <v>51</v>
      </c>
      <c r="B1037" s="2" t="s">
        <v>5384</v>
      </c>
      <c r="C1037" s="2" t="s">
        <v>5385</v>
      </c>
      <c r="D1037" s="2" t="s">
        <v>5383</v>
      </c>
      <c r="E1037" s="2" t="s">
        <v>50</v>
      </c>
      <c r="F1037" s="3">
        <v>43405</v>
      </c>
      <c r="G1037" s="2" t="str">
        <f>"9781496210838"</f>
        <v>9781496210838</v>
      </c>
      <c r="H1037" s="2" t="s">
        <v>14</v>
      </c>
      <c r="I1037" s="4">
        <v>43602.626388888886</v>
      </c>
      <c r="J1037" s="2" t="s">
        <v>5386</v>
      </c>
    </row>
    <row r="1038" spans="1:10" ht="135" x14ac:dyDescent="0.25">
      <c r="A1038" s="2" t="s">
        <v>51</v>
      </c>
      <c r="B1038" s="2">
        <v>967.57104000000004</v>
      </c>
      <c r="C1038" s="2" t="s">
        <v>5252</v>
      </c>
      <c r="D1038" s="2" t="s">
        <v>5250</v>
      </c>
      <c r="E1038" s="2" t="s">
        <v>5251</v>
      </c>
      <c r="F1038" s="3">
        <v>41609</v>
      </c>
      <c r="G1038" s="2" t="str">
        <f>"9781771860062"</f>
        <v>9781771860062</v>
      </c>
      <c r="H1038" s="2" t="s">
        <v>14</v>
      </c>
      <c r="I1038" s="4">
        <v>43606.614583333336</v>
      </c>
      <c r="J1038" s="2" t="s">
        <v>5253</v>
      </c>
    </row>
    <row r="1039" spans="1:10" ht="135" x14ac:dyDescent="0.25">
      <c r="A1039" s="2" t="s">
        <v>51</v>
      </c>
      <c r="B1039" s="2">
        <v>940.55</v>
      </c>
      <c r="C1039" s="2" t="s">
        <v>20</v>
      </c>
      <c r="D1039" s="2" t="s">
        <v>10602</v>
      </c>
      <c r="E1039" s="2" t="s">
        <v>17</v>
      </c>
      <c r="F1039" s="3">
        <v>42523</v>
      </c>
      <c r="G1039" s="2" t="str">
        <f>"9781137546395"</f>
        <v>9781137546395</v>
      </c>
      <c r="H1039" s="2" t="s">
        <v>14</v>
      </c>
      <c r="I1039" s="4">
        <v>43047.685416666667</v>
      </c>
      <c r="J1039" s="2" t="s">
        <v>10603</v>
      </c>
    </row>
    <row r="1040" spans="1:10" ht="135" x14ac:dyDescent="0.25">
      <c r="A1040" s="2" t="s">
        <v>51</v>
      </c>
      <c r="B1040" s="2">
        <v>979.461051</v>
      </c>
      <c r="C1040" s="2" t="s">
        <v>3796</v>
      </c>
      <c r="D1040" s="2" t="s">
        <v>5158</v>
      </c>
      <c r="E1040" s="2" t="s">
        <v>856</v>
      </c>
      <c r="F1040" s="3">
        <v>43009</v>
      </c>
      <c r="G1040" s="2" t="str">
        <f>"9780295742472"</f>
        <v>9780295742472</v>
      </c>
      <c r="H1040" s="2" t="s">
        <v>14</v>
      </c>
      <c r="I1040" s="4">
        <v>43609.784722222219</v>
      </c>
      <c r="J1040" s="2" t="s">
        <v>5159</v>
      </c>
    </row>
    <row r="1041" spans="1:10" ht="135" x14ac:dyDescent="0.25">
      <c r="A1041" s="2" t="s">
        <v>51</v>
      </c>
      <c r="B1041" s="2" t="s">
        <v>2085</v>
      </c>
      <c r="C1041" s="2" t="s">
        <v>2086</v>
      </c>
      <c r="D1041" s="2" t="s">
        <v>2084</v>
      </c>
      <c r="E1041" s="2" t="s">
        <v>370</v>
      </c>
      <c r="F1041" s="3">
        <v>43315</v>
      </c>
      <c r="G1041" s="2" t="str">
        <f>"9780884143185"</f>
        <v>9780884143185</v>
      </c>
      <c r="H1041" s="2" t="s">
        <v>14</v>
      </c>
      <c r="I1041" s="4">
        <v>43914.736805555556</v>
      </c>
      <c r="J1041" s="2" t="s">
        <v>2087</v>
      </c>
    </row>
    <row r="1042" spans="1:10" ht="135" x14ac:dyDescent="0.25">
      <c r="A1042" s="2" t="s">
        <v>51</v>
      </c>
      <c r="B1042" s="2" t="s">
        <v>8250</v>
      </c>
      <c r="C1042" s="2" t="s">
        <v>5668</v>
      </c>
      <c r="D1042" s="2" t="s">
        <v>8249</v>
      </c>
      <c r="E1042" s="2" t="s">
        <v>578</v>
      </c>
      <c r="F1042" s="3">
        <v>42136</v>
      </c>
      <c r="G1042" s="2" t="str">
        <f>"9780252097225"</f>
        <v>9780252097225</v>
      </c>
      <c r="H1042" s="2" t="s">
        <v>14</v>
      </c>
      <c r="I1042" s="4">
        <v>43331.404861111114</v>
      </c>
      <c r="J1042" s="2" t="s">
        <v>8251</v>
      </c>
    </row>
    <row r="1043" spans="1:10" ht="135" x14ac:dyDescent="0.25">
      <c r="A1043" s="2" t="s">
        <v>51</v>
      </c>
      <c r="B1043" s="2" t="s">
        <v>4014</v>
      </c>
      <c r="C1043" s="2" t="s">
        <v>6756</v>
      </c>
      <c r="D1043" s="2" t="s">
        <v>6755</v>
      </c>
      <c r="E1043" s="2" t="s">
        <v>65</v>
      </c>
      <c r="F1043" s="3">
        <v>42489</v>
      </c>
      <c r="G1043" s="2" t="str">
        <f>"9780806155418"</f>
        <v>9780806155418</v>
      </c>
      <c r="H1043" s="2" t="s">
        <v>14</v>
      </c>
      <c r="I1043" s="4">
        <v>43489.665277777778</v>
      </c>
      <c r="J1043" s="2" t="s">
        <v>6757</v>
      </c>
    </row>
    <row r="1044" spans="1:10" ht="135" x14ac:dyDescent="0.25">
      <c r="A1044" s="2" t="s">
        <v>51</v>
      </c>
      <c r="B1044" s="2">
        <v>940.31</v>
      </c>
      <c r="C1044" s="2" t="s">
        <v>20</v>
      </c>
      <c r="D1044" s="2" t="s">
        <v>8186</v>
      </c>
      <c r="E1044" s="2" t="s">
        <v>37</v>
      </c>
      <c r="F1044" s="3">
        <v>42864</v>
      </c>
      <c r="G1044" s="2" t="str">
        <f>"9783319515144"</f>
        <v>9783319515144</v>
      </c>
      <c r="H1044" s="2" t="s">
        <v>14</v>
      </c>
      <c r="I1044" s="4">
        <v>43343.428472222222</v>
      </c>
      <c r="J1044" s="2" t="s">
        <v>8187</v>
      </c>
    </row>
    <row r="1045" spans="1:10" ht="135" x14ac:dyDescent="0.25">
      <c r="A1045" s="2" t="s">
        <v>51</v>
      </c>
      <c r="B1045" s="2">
        <v>973.91</v>
      </c>
      <c r="C1045" s="2" t="s">
        <v>1050</v>
      </c>
      <c r="D1045" s="2" t="s">
        <v>1049</v>
      </c>
      <c r="E1045" s="2" t="s">
        <v>585</v>
      </c>
      <c r="F1045" s="3">
        <v>43517</v>
      </c>
      <c r="G1045" s="2" t="str">
        <f>"9780226596464"</f>
        <v>9780226596464</v>
      </c>
      <c r="H1045" s="2" t="s">
        <v>14</v>
      </c>
      <c r="I1045" s="4">
        <v>43967.522916666669</v>
      </c>
      <c r="J1045" s="2" t="s">
        <v>1051</v>
      </c>
    </row>
    <row r="1046" spans="1:10" ht="135" x14ac:dyDescent="0.25">
      <c r="A1046" s="2" t="s">
        <v>51</v>
      </c>
      <c r="B1046" s="2" t="s">
        <v>3846</v>
      </c>
      <c r="C1046" s="2" t="s">
        <v>3847</v>
      </c>
      <c r="D1046" s="2" t="s">
        <v>3845</v>
      </c>
      <c r="E1046" s="2" t="s">
        <v>54</v>
      </c>
      <c r="F1046" s="3">
        <v>41927</v>
      </c>
      <c r="G1046" s="2" t="str">
        <f>"9780804792707"</f>
        <v>9780804792707</v>
      </c>
      <c r="H1046" s="2" t="s">
        <v>14</v>
      </c>
      <c r="I1046" s="4">
        <v>43750.387499999997</v>
      </c>
      <c r="J1046" s="2" t="s">
        <v>3848</v>
      </c>
    </row>
    <row r="1047" spans="1:10" ht="135" x14ac:dyDescent="0.25">
      <c r="A1047" s="2" t="s">
        <v>51</v>
      </c>
      <c r="B1047" s="2" t="s">
        <v>10650</v>
      </c>
      <c r="C1047" s="2" t="s">
        <v>10651</v>
      </c>
      <c r="D1047" s="2" t="s">
        <v>10649</v>
      </c>
      <c r="E1047" s="2" t="s">
        <v>130</v>
      </c>
      <c r="F1047" s="3">
        <v>42557</v>
      </c>
      <c r="G1047" s="2" t="str">
        <f>"9780813055978"</f>
        <v>9780813055978</v>
      </c>
      <c r="H1047" s="2" t="s">
        <v>14</v>
      </c>
      <c r="I1047" s="4">
        <v>43044.690972222219</v>
      </c>
      <c r="J1047" s="2" t="s">
        <v>10652</v>
      </c>
    </row>
    <row r="1048" spans="1:10" ht="135" x14ac:dyDescent="0.25">
      <c r="A1048" s="2" t="s">
        <v>51</v>
      </c>
      <c r="B1048" s="2">
        <v>959.57050000000004</v>
      </c>
      <c r="C1048" s="2" t="s">
        <v>7565</v>
      </c>
      <c r="D1048" s="2" t="s">
        <v>7564</v>
      </c>
      <c r="E1048" s="2" t="s">
        <v>268</v>
      </c>
      <c r="F1048" s="3">
        <v>42675</v>
      </c>
      <c r="G1048" s="2" t="str">
        <f>"9780815729488"</f>
        <v>9780815729488</v>
      </c>
      <c r="H1048" s="2" t="s">
        <v>14</v>
      </c>
      <c r="I1048" s="4">
        <v>43408.756944444445</v>
      </c>
      <c r="J1048" s="2" t="s">
        <v>7566</v>
      </c>
    </row>
    <row r="1049" spans="1:10" ht="150" x14ac:dyDescent="0.25">
      <c r="A1049" s="2" t="s">
        <v>51</v>
      </c>
      <c r="B1049" s="2">
        <v>967.81</v>
      </c>
      <c r="C1049" s="2" t="s">
        <v>5604</v>
      </c>
      <c r="D1049" s="2" t="s">
        <v>5603</v>
      </c>
      <c r="E1049" s="2" t="s">
        <v>1072</v>
      </c>
      <c r="F1049" s="3">
        <v>43214</v>
      </c>
      <c r="G1049" s="2" t="str">
        <f>"9789987083466"</f>
        <v>9789987083466</v>
      </c>
      <c r="H1049" s="2" t="s">
        <v>14</v>
      </c>
      <c r="I1049" s="4">
        <v>43586.53402777778</v>
      </c>
      <c r="J1049" s="2" t="s">
        <v>5605</v>
      </c>
    </row>
    <row r="1050" spans="1:10" ht="135" x14ac:dyDescent="0.25">
      <c r="A1050" s="2" t="s">
        <v>51</v>
      </c>
      <c r="B1050" s="2" t="s">
        <v>12028</v>
      </c>
      <c r="C1050" s="2" t="s">
        <v>12029</v>
      </c>
      <c r="D1050" s="2" t="s">
        <v>12027</v>
      </c>
      <c r="E1050" s="2" t="s">
        <v>627</v>
      </c>
      <c r="F1050" s="3">
        <v>41760</v>
      </c>
      <c r="G1050" s="2" t="str">
        <f>"9789633860144"</f>
        <v>9789633860144</v>
      </c>
      <c r="H1050" s="2" t="s">
        <v>14</v>
      </c>
      <c r="I1050" s="4">
        <v>42860.885416666664</v>
      </c>
      <c r="J1050" s="2" t="s">
        <v>12030</v>
      </c>
    </row>
    <row r="1051" spans="1:10" ht="135" x14ac:dyDescent="0.25">
      <c r="A1051" s="2" t="s">
        <v>51</v>
      </c>
      <c r="B1051" s="2">
        <v>954.87092199999995</v>
      </c>
      <c r="C1051" s="2" t="s">
        <v>4409</v>
      </c>
      <c r="D1051" s="2" t="s">
        <v>4408</v>
      </c>
      <c r="E1051" s="2" t="s">
        <v>216</v>
      </c>
      <c r="F1051" s="3">
        <v>43344</v>
      </c>
      <c r="G1051" s="2" t="str">
        <f>"9781438471853"</f>
        <v>9781438471853</v>
      </c>
      <c r="H1051" s="2" t="s">
        <v>14</v>
      </c>
      <c r="I1051" s="4">
        <v>43672.730555555558</v>
      </c>
      <c r="J1051" s="2" t="s">
        <v>4410</v>
      </c>
    </row>
    <row r="1052" spans="1:10" ht="135" x14ac:dyDescent="0.25">
      <c r="A1052" s="2" t="s">
        <v>51</v>
      </c>
      <c r="B1052" s="2">
        <v>962.9</v>
      </c>
      <c r="C1052" s="2" t="s">
        <v>7416</v>
      </c>
      <c r="D1052" s="2" t="s">
        <v>7415</v>
      </c>
      <c r="E1052" s="2" t="s">
        <v>256</v>
      </c>
      <c r="F1052" s="3">
        <v>42689</v>
      </c>
      <c r="G1052" s="2" t="str">
        <f>"9780821445846"</f>
        <v>9780821445846</v>
      </c>
      <c r="H1052" s="2" t="s">
        <v>14</v>
      </c>
      <c r="I1052" s="4">
        <v>43417.558333333334</v>
      </c>
      <c r="J1052" s="2" t="s">
        <v>7417</v>
      </c>
    </row>
    <row r="1053" spans="1:10" ht="135" x14ac:dyDescent="0.25">
      <c r="A1053" s="2" t="s">
        <v>51</v>
      </c>
      <c r="B1053" s="2">
        <v>962.40430000000003</v>
      </c>
      <c r="C1053" s="2" t="s">
        <v>1073</v>
      </c>
      <c r="D1053" s="2" t="s">
        <v>1071</v>
      </c>
      <c r="E1053" s="2" t="s">
        <v>1072</v>
      </c>
      <c r="F1053" s="3">
        <v>43567</v>
      </c>
      <c r="G1053" s="2" t="str">
        <f>"9789987083879"</f>
        <v>9789987083879</v>
      </c>
      <c r="H1053" s="2" t="s">
        <v>14</v>
      </c>
      <c r="I1053" s="4">
        <v>43966.592361111114</v>
      </c>
      <c r="J1053" s="2" t="s">
        <v>1074</v>
      </c>
    </row>
    <row r="1054" spans="1:10" ht="150" x14ac:dyDescent="0.25">
      <c r="A1054" s="2" t="s">
        <v>51</v>
      </c>
      <c r="B1054" s="2" t="s">
        <v>4014</v>
      </c>
      <c r="C1054" s="2" t="s">
        <v>4015</v>
      </c>
      <c r="D1054" s="2" t="s">
        <v>4013</v>
      </c>
      <c r="E1054" s="2" t="s">
        <v>156</v>
      </c>
      <c r="F1054" s="3">
        <v>43605</v>
      </c>
      <c r="G1054" s="2" t="str">
        <f>"9781469648613"</f>
        <v>9781469648613</v>
      </c>
      <c r="H1054" s="2" t="s">
        <v>14</v>
      </c>
      <c r="I1054" s="4">
        <v>43726.620138888888</v>
      </c>
      <c r="J1054" s="2" t="s">
        <v>4016</v>
      </c>
    </row>
    <row r="1055" spans="1:10" ht="135" x14ac:dyDescent="0.25">
      <c r="A1055" s="2" t="s">
        <v>51</v>
      </c>
      <c r="B1055" s="2" t="s">
        <v>7181</v>
      </c>
      <c r="C1055" s="2" t="s">
        <v>7182</v>
      </c>
      <c r="D1055" s="2" t="s">
        <v>7180</v>
      </c>
      <c r="E1055" s="2" t="s">
        <v>397</v>
      </c>
      <c r="F1055" s="3">
        <v>42849</v>
      </c>
      <c r="G1055" s="2" t="str">
        <f>"9780822982364"</f>
        <v>9780822982364</v>
      </c>
      <c r="H1055" s="2" t="s">
        <v>14</v>
      </c>
      <c r="I1055" s="4">
        <v>43437.700694444444</v>
      </c>
      <c r="J1055" s="2" t="s">
        <v>7183</v>
      </c>
    </row>
    <row r="1056" spans="1:10" ht="135" x14ac:dyDescent="0.25">
      <c r="A1056" s="2" t="s">
        <v>51</v>
      </c>
      <c r="B1056" s="2">
        <v>956.053</v>
      </c>
      <c r="C1056" s="2" t="s">
        <v>2821</v>
      </c>
      <c r="D1056" s="2" t="s">
        <v>2820</v>
      </c>
      <c r="E1056" s="2" t="s">
        <v>69</v>
      </c>
      <c r="F1056" s="3">
        <v>43630</v>
      </c>
      <c r="G1056" s="2" t="str">
        <f>"9780253042408"</f>
        <v>9780253042408</v>
      </c>
      <c r="H1056" s="2" t="s">
        <v>14</v>
      </c>
      <c r="I1056" s="4">
        <v>43851.720138888886</v>
      </c>
      <c r="J1056" s="2" t="s">
        <v>2822</v>
      </c>
    </row>
    <row r="1057" spans="1:10" ht="135" x14ac:dyDescent="0.25">
      <c r="A1057" s="2" t="s">
        <v>51</v>
      </c>
      <c r="D1057" s="2" t="s">
        <v>49</v>
      </c>
      <c r="E1057" s="2" t="s">
        <v>50</v>
      </c>
      <c r="F1057" s="3">
        <v>43826</v>
      </c>
      <c r="G1057" s="2" t="str">
        <f>"9781496216403"</f>
        <v>9781496216403</v>
      </c>
      <c r="H1057" s="2" t="s">
        <v>14</v>
      </c>
      <c r="I1057" s="4">
        <v>44074.678472222222</v>
      </c>
      <c r="J1057" s="2" t="s">
        <v>52</v>
      </c>
    </row>
    <row r="1058" spans="1:10" ht="135" x14ac:dyDescent="0.25">
      <c r="A1058" s="2" t="s">
        <v>51</v>
      </c>
      <c r="B1058" s="2">
        <v>940.27800000000002</v>
      </c>
      <c r="C1058" s="2" t="s">
        <v>4847</v>
      </c>
      <c r="D1058" s="2" t="s">
        <v>4846</v>
      </c>
      <c r="E1058" s="2" t="s">
        <v>65</v>
      </c>
      <c r="F1058" s="3">
        <v>43412</v>
      </c>
      <c r="G1058" s="2" t="str">
        <f>"9780806162140"</f>
        <v>9780806162140</v>
      </c>
      <c r="H1058" s="2" t="s">
        <v>14</v>
      </c>
      <c r="I1058" s="4">
        <v>43621.449305555558</v>
      </c>
      <c r="J1058" s="2" t="s">
        <v>4848</v>
      </c>
    </row>
    <row r="1059" spans="1:10" ht="135" x14ac:dyDescent="0.25">
      <c r="A1059" s="2" t="s">
        <v>51</v>
      </c>
      <c r="B1059" s="2">
        <v>978.48800000000006</v>
      </c>
      <c r="C1059" s="2" t="s">
        <v>441</v>
      </c>
      <c r="D1059" s="2" t="s">
        <v>440</v>
      </c>
      <c r="E1059" s="2" t="s">
        <v>73</v>
      </c>
      <c r="F1059" s="3">
        <v>43704</v>
      </c>
      <c r="G1059" s="2" t="str">
        <f>"9781452960036"</f>
        <v>9781452960036</v>
      </c>
      <c r="H1059" s="2" t="s">
        <v>14</v>
      </c>
      <c r="I1059" s="4">
        <v>44024.049305555556</v>
      </c>
      <c r="J1059" s="2" t="s">
        <v>442</v>
      </c>
    </row>
    <row r="1060" spans="1:10" ht="135" x14ac:dyDescent="0.25">
      <c r="A1060" s="2" t="s">
        <v>51</v>
      </c>
      <c r="B1060" s="2">
        <v>960.33</v>
      </c>
      <c r="C1060" s="2" t="s">
        <v>3331</v>
      </c>
      <c r="D1060" s="2" t="s">
        <v>3330</v>
      </c>
      <c r="E1060" s="2" t="s">
        <v>69</v>
      </c>
      <c r="F1060" s="3">
        <v>43024</v>
      </c>
      <c r="G1060" s="2" t="str">
        <f>"9780253030177"</f>
        <v>9780253030177</v>
      </c>
      <c r="H1060" s="2" t="s">
        <v>14</v>
      </c>
      <c r="I1060" s="4">
        <v>43789.492361111108</v>
      </c>
      <c r="J1060" s="2" t="s">
        <v>3332</v>
      </c>
    </row>
    <row r="1061" spans="1:10" ht="135" x14ac:dyDescent="0.25">
      <c r="A1061" s="2" t="s">
        <v>51</v>
      </c>
      <c r="B1061" s="2">
        <v>972.01</v>
      </c>
      <c r="C1061" s="2" t="s">
        <v>12148</v>
      </c>
      <c r="D1061" s="2" t="s">
        <v>12147</v>
      </c>
      <c r="E1061" s="2" t="s">
        <v>526</v>
      </c>
      <c r="F1061" s="3">
        <v>36526</v>
      </c>
      <c r="G1061" s="2" t="str">
        <f>"9780292791848"</f>
        <v>9780292791848</v>
      </c>
      <c r="H1061" s="2" t="s">
        <v>14</v>
      </c>
      <c r="I1061" s="4">
        <v>42844.646527777775</v>
      </c>
      <c r="J1061" s="2" t="s">
        <v>12149</v>
      </c>
    </row>
    <row r="1062" spans="1:10" ht="135" x14ac:dyDescent="0.25">
      <c r="A1062" s="2" t="s">
        <v>51</v>
      </c>
      <c r="B1062" s="2">
        <v>959.10500000000002</v>
      </c>
      <c r="C1062" s="2" t="s">
        <v>3702</v>
      </c>
      <c r="D1062" s="2" t="s">
        <v>3701</v>
      </c>
      <c r="E1062" s="2" t="s">
        <v>786</v>
      </c>
      <c r="F1062" s="3">
        <v>41456</v>
      </c>
      <c r="G1062" s="2" t="str">
        <f>"9789971697594"</f>
        <v>9789971697594</v>
      </c>
      <c r="H1062" s="2" t="s">
        <v>14</v>
      </c>
      <c r="I1062" s="4">
        <v>43763.70416666667</v>
      </c>
      <c r="J1062" s="2" t="s">
        <v>3703</v>
      </c>
    </row>
    <row r="1063" spans="1:10" ht="135" x14ac:dyDescent="0.25">
      <c r="A1063" s="2" t="s">
        <v>51</v>
      </c>
      <c r="B1063" s="2">
        <v>943.9</v>
      </c>
      <c r="C1063" s="2" t="s">
        <v>4007</v>
      </c>
      <c r="D1063" s="2" t="s">
        <v>4006</v>
      </c>
      <c r="E1063" s="2" t="s">
        <v>627</v>
      </c>
      <c r="F1063" s="3">
        <v>43344</v>
      </c>
      <c r="G1063" s="2" t="str">
        <f>"9789633862629"</f>
        <v>9789633862629</v>
      </c>
      <c r="H1063" s="2" t="s">
        <v>14</v>
      </c>
      <c r="I1063" s="4">
        <v>43728.330555555556</v>
      </c>
      <c r="J1063" s="2" t="s">
        <v>4008</v>
      </c>
    </row>
    <row r="1064" spans="1:10" ht="135" x14ac:dyDescent="0.25">
      <c r="A1064" s="2" t="s">
        <v>51</v>
      </c>
      <c r="C1064" s="2" t="s">
        <v>5624</v>
      </c>
      <c r="D1064" s="2" t="s">
        <v>5623</v>
      </c>
      <c r="E1064" s="2" t="s">
        <v>268</v>
      </c>
      <c r="F1064" s="3">
        <v>43347</v>
      </c>
      <c r="G1064" s="2" t="str">
        <f>"9780815735731"</f>
        <v>9780815735731</v>
      </c>
      <c r="H1064" s="2" t="s">
        <v>14</v>
      </c>
      <c r="I1064" s="4">
        <v>43585.600694444445</v>
      </c>
      <c r="J1064" s="2" t="s">
        <v>5625</v>
      </c>
    </row>
    <row r="1065" spans="1:10" ht="165" x14ac:dyDescent="0.25">
      <c r="A1065" s="2" t="s">
        <v>51</v>
      </c>
      <c r="D1065" s="2" t="s">
        <v>1681</v>
      </c>
      <c r="E1065" s="2" t="s">
        <v>69</v>
      </c>
      <c r="F1065" s="3">
        <v>43900</v>
      </c>
      <c r="G1065" s="2" t="str">
        <f>"9780253045423"</f>
        <v>9780253045423</v>
      </c>
      <c r="H1065" s="2" t="s">
        <v>14</v>
      </c>
      <c r="I1065" s="4">
        <v>43932.680555555555</v>
      </c>
      <c r="J1065" s="2" t="s">
        <v>1682</v>
      </c>
    </row>
    <row r="1066" spans="1:10" ht="135" x14ac:dyDescent="0.25">
      <c r="A1066" s="2" t="s">
        <v>51</v>
      </c>
      <c r="B1066" s="2">
        <v>956.91042000000004</v>
      </c>
      <c r="C1066" s="2" t="s">
        <v>10292</v>
      </c>
      <c r="D1066" s="2" t="s">
        <v>11658</v>
      </c>
      <c r="E1066" s="2" t="s">
        <v>310</v>
      </c>
      <c r="F1066" s="3">
        <v>42339</v>
      </c>
      <c r="G1066" s="2" t="str">
        <f>"9780815653516"</f>
        <v>9780815653516</v>
      </c>
      <c r="H1066" s="2" t="s">
        <v>14</v>
      </c>
      <c r="I1066" s="4">
        <v>42916.431250000001</v>
      </c>
      <c r="J1066" s="2" t="s">
        <v>11659</v>
      </c>
    </row>
    <row r="1067" spans="1:10" ht="165" x14ac:dyDescent="0.25">
      <c r="A1067" s="2" t="s">
        <v>51</v>
      </c>
      <c r="B1067" s="2" t="s">
        <v>1458</v>
      </c>
      <c r="C1067" s="2" t="s">
        <v>1459</v>
      </c>
      <c r="D1067" s="2" t="s">
        <v>1457</v>
      </c>
      <c r="E1067" s="2" t="s">
        <v>164</v>
      </c>
      <c r="F1067" s="3">
        <v>43539</v>
      </c>
      <c r="G1067" s="2" t="str">
        <f>"9780826360168"</f>
        <v>9780826360168</v>
      </c>
      <c r="H1067" s="2" t="s">
        <v>14</v>
      </c>
      <c r="I1067" s="4">
        <v>43942.693055555559</v>
      </c>
      <c r="J1067" s="2" t="s">
        <v>1460</v>
      </c>
    </row>
    <row r="1068" spans="1:10" ht="135" x14ac:dyDescent="0.25">
      <c r="A1068" s="2" t="s">
        <v>51</v>
      </c>
      <c r="B1068" s="2">
        <v>930.1</v>
      </c>
      <c r="C1068" s="2" t="s">
        <v>8338</v>
      </c>
      <c r="D1068" s="2" t="s">
        <v>8337</v>
      </c>
      <c r="E1068" s="2" t="s">
        <v>195</v>
      </c>
      <c r="F1068" s="3">
        <v>43207</v>
      </c>
      <c r="G1068" s="2" t="str">
        <f>"9780816538362"</f>
        <v>9780816538362</v>
      </c>
      <c r="H1068" s="2" t="s">
        <v>14</v>
      </c>
      <c r="I1068" s="4">
        <v>43319.638888888891</v>
      </c>
      <c r="J1068" s="2" t="s">
        <v>8339</v>
      </c>
    </row>
    <row r="1069" spans="1:10" ht="135" x14ac:dyDescent="0.25">
      <c r="A1069" s="2" t="s">
        <v>51</v>
      </c>
      <c r="B1069" s="2">
        <v>940.14400000000001</v>
      </c>
      <c r="C1069" s="2" t="s">
        <v>6321</v>
      </c>
      <c r="D1069" s="2" t="s">
        <v>6320</v>
      </c>
      <c r="E1069" s="2" t="s">
        <v>11</v>
      </c>
      <c r="F1069" s="3">
        <v>39428</v>
      </c>
      <c r="G1069" s="2" t="str">
        <f>"9780813216966"</f>
        <v>9780813216966</v>
      </c>
      <c r="H1069" s="2" t="s">
        <v>14</v>
      </c>
      <c r="I1069" s="4">
        <v>43525.481249999997</v>
      </c>
      <c r="J1069" s="2" t="s">
        <v>6322</v>
      </c>
    </row>
    <row r="1070" spans="1:10" ht="135" x14ac:dyDescent="0.25">
      <c r="A1070" s="2" t="s">
        <v>51</v>
      </c>
      <c r="B1070" s="2">
        <v>960.33119999999997</v>
      </c>
      <c r="C1070" s="2" t="s">
        <v>5268</v>
      </c>
      <c r="D1070" s="2" t="s">
        <v>5267</v>
      </c>
      <c r="E1070" s="2" t="s">
        <v>499</v>
      </c>
      <c r="F1070" s="3">
        <v>42079</v>
      </c>
      <c r="G1070" s="2" t="str">
        <f>"9781626161986"</f>
        <v>9781626161986</v>
      </c>
      <c r="H1070" s="2" t="s">
        <v>14</v>
      </c>
      <c r="I1070" s="4">
        <v>43606.595833333333</v>
      </c>
      <c r="J1070" s="2" t="s">
        <v>5269</v>
      </c>
    </row>
    <row r="1071" spans="1:10" ht="165" x14ac:dyDescent="0.25">
      <c r="A1071" s="2" t="s">
        <v>51</v>
      </c>
      <c r="B1071" s="2">
        <v>980.01</v>
      </c>
      <c r="C1071" s="2" t="s">
        <v>7034</v>
      </c>
      <c r="D1071" s="2" t="s">
        <v>7033</v>
      </c>
      <c r="E1071" s="2" t="s">
        <v>130</v>
      </c>
      <c r="F1071" s="3">
        <v>42864</v>
      </c>
      <c r="G1071" s="2" t="str">
        <f>"9780813052892"</f>
        <v>9780813052892</v>
      </c>
      <c r="H1071" s="2" t="s">
        <v>14</v>
      </c>
      <c r="I1071" s="4">
        <v>43457.084027777775</v>
      </c>
      <c r="J1071" s="2" t="s">
        <v>7035</v>
      </c>
    </row>
    <row r="1072" spans="1:10" ht="135" x14ac:dyDescent="0.25">
      <c r="A1072" s="2" t="s">
        <v>51</v>
      </c>
      <c r="B1072" s="2">
        <v>974.7</v>
      </c>
      <c r="C1072" s="2" t="s">
        <v>10988</v>
      </c>
      <c r="D1072" s="2" t="s">
        <v>10987</v>
      </c>
      <c r="E1072" s="2" t="s">
        <v>216</v>
      </c>
      <c r="F1072" s="3">
        <v>42795</v>
      </c>
      <c r="G1072" s="2" t="str">
        <f>"9781438464497"</f>
        <v>9781438464497</v>
      </c>
      <c r="H1072" s="2" t="s">
        <v>14</v>
      </c>
      <c r="I1072" s="4">
        <v>43024.53125</v>
      </c>
      <c r="J1072" s="2" t="s">
        <v>10989</v>
      </c>
    </row>
    <row r="1073" spans="1:10" ht="135" x14ac:dyDescent="0.25">
      <c r="A1073" s="2" t="s">
        <v>51</v>
      </c>
      <c r="B1073" s="2">
        <v>956.0421</v>
      </c>
      <c r="C1073" s="2" t="s">
        <v>4582</v>
      </c>
      <c r="D1073" s="2" t="s">
        <v>4581</v>
      </c>
      <c r="E1073" s="2" t="s">
        <v>77</v>
      </c>
      <c r="F1073" s="3">
        <v>40664</v>
      </c>
      <c r="G1073" s="2" t="str">
        <f>"9781780744339"</f>
        <v>9781780744339</v>
      </c>
      <c r="H1073" s="2" t="s">
        <v>14</v>
      </c>
      <c r="I1073" s="4">
        <v>43647.85</v>
      </c>
      <c r="J1073" s="2" t="s">
        <v>4583</v>
      </c>
    </row>
    <row r="1074" spans="1:10" ht="135" x14ac:dyDescent="0.25">
      <c r="A1074" s="2" t="s">
        <v>51</v>
      </c>
      <c r="B1074" s="2">
        <v>947.70072000000005</v>
      </c>
      <c r="D1074" s="2" t="s">
        <v>1645</v>
      </c>
      <c r="E1074" s="2" t="s">
        <v>69</v>
      </c>
      <c r="F1074" s="3">
        <v>43872</v>
      </c>
      <c r="G1074" s="2" t="str">
        <f>"9780253046734"</f>
        <v>9780253046734</v>
      </c>
      <c r="H1074" s="2" t="s">
        <v>14</v>
      </c>
      <c r="I1074" s="4">
        <v>43934.680555555555</v>
      </c>
      <c r="J1074" s="2" t="s">
        <v>1646</v>
      </c>
    </row>
    <row r="1075" spans="1:10" ht="240" x14ac:dyDescent="0.25">
      <c r="A1075" s="2" t="s">
        <v>51</v>
      </c>
      <c r="B1075" s="2">
        <v>958.10470999999995</v>
      </c>
      <c r="C1075" s="2" t="s">
        <v>5439</v>
      </c>
      <c r="D1075" s="2" t="s">
        <v>5438</v>
      </c>
      <c r="E1075" s="2" t="s">
        <v>322</v>
      </c>
      <c r="F1075" s="3">
        <v>42750</v>
      </c>
      <c r="G1075" s="2" t="str">
        <f>"9780820350332"</f>
        <v>9780820350332</v>
      </c>
      <c r="H1075" s="2" t="s">
        <v>14</v>
      </c>
      <c r="I1075" s="4">
        <v>43598.816666666666</v>
      </c>
      <c r="J1075" s="2" t="s">
        <v>5440</v>
      </c>
    </row>
    <row r="1076" spans="1:10" ht="165" x14ac:dyDescent="0.25">
      <c r="A1076" s="2" t="s">
        <v>51</v>
      </c>
      <c r="B1076" s="2" t="s">
        <v>11014</v>
      </c>
      <c r="C1076" s="2" t="s">
        <v>11015</v>
      </c>
      <c r="D1076" s="2" t="s">
        <v>11013</v>
      </c>
      <c r="E1076" s="2" t="s">
        <v>54</v>
      </c>
      <c r="F1076" s="3">
        <v>41668</v>
      </c>
      <c r="G1076" s="2" t="str">
        <f>"9780804790604"</f>
        <v>9780804790604</v>
      </c>
      <c r="H1076" s="2" t="s">
        <v>14</v>
      </c>
      <c r="I1076" s="4">
        <v>43023.529166666667</v>
      </c>
      <c r="J1076" s="2" t="s">
        <v>11016</v>
      </c>
    </row>
    <row r="1077" spans="1:10" ht="135" x14ac:dyDescent="0.25">
      <c r="A1077" s="2" t="s">
        <v>51</v>
      </c>
      <c r="B1077" s="2">
        <v>972.9</v>
      </c>
      <c r="C1077" s="2" t="s">
        <v>547</v>
      </c>
      <c r="D1077" s="2" t="s">
        <v>546</v>
      </c>
      <c r="E1077" s="2" t="s">
        <v>69</v>
      </c>
      <c r="F1077" s="3">
        <v>43956</v>
      </c>
      <c r="G1077" s="2" t="str">
        <f>"9780253047533"</f>
        <v>9780253047533</v>
      </c>
      <c r="H1077" s="2" t="s">
        <v>14</v>
      </c>
      <c r="I1077" s="4">
        <v>44015.56527777778</v>
      </c>
      <c r="J1077" s="2" t="s">
        <v>548</v>
      </c>
    </row>
    <row r="1078" spans="1:10" ht="135" x14ac:dyDescent="0.25">
      <c r="A1078" s="2" t="s">
        <v>51</v>
      </c>
      <c r="B1078" s="2">
        <v>973.7</v>
      </c>
      <c r="C1078" s="2" t="s">
        <v>11455</v>
      </c>
      <c r="D1078" s="2" t="s">
        <v>11454</v>
      </c>
      <c r="E1078" s="2" t="s">
        <v>4660</v>
      </c>
      <c r="F1078" s="3">
        <v>41653</v>
      </c>
      <c r="G1078" s="2" t="str">
        <f>"9780813143224"</f>
        <v>9780813143224</v>
      </c>
      <c r="H1078" s="2" t="s">
        <v>14</v>
      </c>
      <c r="I1078" s="4">
        <v>42964.917361111111</v>
      </c>
      <c r="J1078" s="2" t="s">
        <v>11456</v>
      </c>
    </row>
    <row r="1079" spans="1:10" ht="135" x14ac:dyDescent="0.25">
      <c r="A1079" s="2" t="s">
        <v>51</v>
      </c>
      <c r="B1079" s="2">
        <v>959.70429999999999</v>
      </c>
      <c r="C1079" s="2" t="s">
        <v>1377</v>
      </c>
      <c r="D1079" s="2" t="s">
        <v>1376</v>
      </c>
      <c r="E1079" s="2" t="s">
        <v>65</v>
      </c>
      <c r="F1079" s="3">
        <v>43202</v>
      </c>
      <c r="G1079" s="2" t="str">
        <f>"9780806161211"</f>
        <v>9780806161211</v>
      </c>
      <c r="H1079" s="2" t="s">
        <v>14</v>
      </c>
      <c r="I1079" s="4">
        <v>43946.409722222219</v>
      </c>
      <c r="J1079" s="2" t="s">
        <v>1378</v>
      </c>
    </row>
    <row r="1080" spans="1:10" ht="165" x14ac:dyDescent="0.25">
      <c r="A1080" s="2" t="s">
        <v>51</v>
      </c>
      <c r="B1080" s="2">
        <v>973.31</v>
      </c>
      <c r="C1080" s="2" t="s">
        <v>11054</v>
      </c>
      <c r="D1080" s="2" t="s">
        <v>11053</v>
      </c>
      <c r="E1080" s="2" t="s">
        <v>180</v>
      </c>
      <c r="F1080" s="3">
        <v>41747</v>
      </c>
      <c r="G1080" s="2" t="str">
        <f>"9781479874972"</f>
        <v>9781479874972</v>
      </c>
      <c r="H1080" s="2" t="s">
        <v>14</v>
      </c>
      <c r="I1080" s="4">
        <v>43020.695833333331</v>
      </c>
      <c r="J1080" s="2" t="s">
        <v>11055</v>
      </c>
    </row>
    <row r="1081" spans="1:10" ht="150" x14ac:dyDescent="0.25">
      <c r="A1081" s="2" t="s">
        <v>51</v>
      </c>
      <c r="B1081" s="2">
        <v>930.1</v>
      </c>
      <c r="C1081" s="2" t="s">
        <v>339</v>
      </c>
      <c r="D1081" s="2" t="s">
        <v>338</v>
      </c>
      <c r="E1081" s="2" t="s">
        <v>130</v>
      </c>
      <c r="F1081" s="3">
        <v>42878</v>
      </c>
      <c r="G1081" s="2" t="str">
        <f>"9780813052915"</f>
        <v>9780813052915</v>
      </c>
      <c r="H1081" s="2" t="s">
        <v>14</v>
      </c>
      <c r="I1081" s="4">
        <v>44037.411805555559</v>
      </c>
      <c r="J1081" s="2" t="s">
        <v>340</v>
      </c>
    </row>
    <row r="1082" spans="1:10" ht="165" x14ac:dyDescent="0.25">
      <c r="A1082" s="2" t="s">
        <v>51</v>
      </c>
      <c r="D1082" s="2" t="s">
        <v>4477</v>
      </c>
      <c r="E1082" s="2" t="s">
        <v>54</v>
      </c>
      <c r="F1082" s="3">
        <v>43480</v>
      </c>
      <c r="G1082" s="2" t="str">
        <f>"9781503607538"</f>
        <v>9781503607538</v>
      </c>
      <c r="H1082" s="2" t="s">
        <v>14</v>
      </c>
      <c r="I1082" s="4">
        <v>43661.599305555559</v>
      </c>
      <c r="J1082" s="2" t="s">
        <v>4478</v>
      </c>
    </row>
    <row r="1083" spans="1:10" ht="150" x14ac:dyDescent="0.25">
      <c r="A1083" s="2" t="s">
        <v>51</v>
      </c>
      <c r="B1083" s="2" t="s">
        <v>10992</v>
      </c>
      <c r="C1083" s="2" t="s">
        <v>10993</v>
      </c>
      <c r="D1083" s="2" t="s">
        <v>10990</v>
      </c>
      <c r="E1083" s="2" t="s">
        <v>10991</v>
      </c>
      <c r="F1083" s="3">
        <v>41794</v>
      </c>
      <c r="G1083" s="2" t="str">
        <f>"9781782976158"</f>
        <v>9781782976158</v>
      </c>
      <c r="H1083" s="2" t="s">
        <v>14</v>
      </c>
      <c r="I1083" s="4">
        <v>43024.440972222219</v>
      </c>
      <c r="J1083" s="2" t="s">
        <v>10994</v>
      </c>
    </row>
    <row r="1084" spans="1:10" ht="135" x14ac:dyDescent="0.25">
      <c r="A1084" s="2" t="s">
        <v>51</v>
      </c>
      <c r="B1084" s="2">
        <v>968.91051000000004</v>
      </c>
      <c r="C1084" s="2" t="s">
        <v>6644</v>
      </c>
      <c r="D1084" s="2" t="s">
        <v>6643</v>
      </c>
      <c r="E1084" s="2" t="s">
        <v>212</v>
      </c>
      <c r="F1084" s="3">
        <v>43360</v>
      </c>
      <c r="G1084" s="2" t="str">
        <f>"9789956550043"</f>
        <v>9789956550043</v>
      </c>
      <c r="H1084" s="2" t="s">
        <v>14</v>
      </c>
      <c r="I1084" s="4">
        <v>43500.666666666664</v>
      </c>
      <c r="J1084" s="2" t="s">
        <v>6645</v>
      </c>
    </row>
    <row r="1085" spans="1:10" ht="135" x14ac:dyDescent="0.25">
      <c r="A1085" s="2" t="s">
        <v>51</v>
      </c>
      <c r="B1085" s="2" t="s">
        <v>6411</v>
      </c>
      <c r="C1085" s="2" t="s">
        <v>6412</v>
      </c>
      <c r="D1085" s="2" t="s">
        <v>6410</v>
      </c>
      <c r="E1085" s="2" t="s">
        <v>705</v>
      </c>
      <c r="F1085" s="3">
        <v>43032</v>
      </c>
      <c r="G1085" s="2" t="str">
        <f>"9781400888917"</f>
        <v>9781400888917</v>
      </c>
      <c r="H1085" s="2" t="s">
        <v>14</v>
      </c>
      <c r="I1085" s="4">
        <v>43519.665972222225</v>
      </c>
      <c r="J1085" s="2" t="s">
        <v>6413</v>
      </c>
    </row>
    <row r="1086" spans="1:10" ht="135" x14ac:dyDescent="0.25">
      <c r="A1086" s="2" t="s">
        <v>51</v>
      </c>
      <c r="B1086" s="2">
        <v>941.50810000000001</v>
      </c>
      <c r="C1086" s="2" t="s">
        <v>11986</v>
      </c>
      <c r="D1086" s="2" t="s">
        <v>11984</v>
      </c>
      <c r="E1086" s="2" t="s">
        <v>11985</v>
      </c>
      <c r="F1086" s="3">
        <v>41363</v>
      </c>
      <c r="G1086" s="2" t="str">
        <f>"9781572339798"</f>
        <v>9781572339798</v>
      </c>
      <c r="H1086" s="2" t="s">
        <v>14</v>
      </c>
      <c r="I1086" s="4">
        <v>42864.790277777778</v>
      </c>
      <c r="J1086" s="2" t="s">
        <v>11987</v>
      </c>
    </row>
    <row r="1087" spans="1:10" ht="135" x14ac:dyDescent="0.25">
      <c r="A1087" s="2" t="s">
        <v>51</v>
      </c>
      <c r="B1087" s="2">
        <v>947.08509200000003</v>
      </c>
      <c r="C1087" s="2" t="s">
        <v>1181</v>
      </c>
      <c r="D1087" s="2" t="s">
        <v>1180</v>
      </c>
      <c r="E1087" s="2" t="s">
        <v>397</v>
      </c>
      <c r="F1087" s="3">
        <v>43732</v>
      </c>
      <c r="G1087" s="2" t="str">
        <f>"9780822987239"</f>
        <v>9780822987239</v>
      </c>
      <c r="H1087" s="2" t="s">
        <v>14</v>
      </c>
      <c r="I1087" s="4">
        <v>43957.62222222222</v>
      </c>
      <c r="J1087" s="2" t="s">
        <v>1182</v>
      </c>
    </row>
    <row r="1088" spans="1:10" ht="135" x14ac:dyDescent="0.25">
      <c r="A1088" s="2" t="s">
        <v>51</v>
      </c>
      <c r="B1088" s="2">
        <v>967.11</v>
      </c>
      <c r="C1088" s="2" t="s">
        <v>5116</v>
      </c>
      <c r="D1088" s="2" t="s">
        <v>5115</v>
      </c>
      <c r="E1088" s="2" t="s">
        <v>121</v>
      </c>
      <c r="F1088" s="3">
        <v>42309</v>
      </c>
      <c r="G1088" s="2" t="str">
        <f>"9781609174538"</f>
        <v>9781609174538</v>
      </c>
      <c r="H1088" s="2" t="s">
        <v>14</v>
      </c>
      <c r="I1088" s="4">
        <v>43609.988194444442</v>
      </c>
      <c r="J1088" s="2" t="s">
        <v>5117</v>
      </c>
    </row>
    <row r="1089" spans="1:10" ht="135" x14ac:dyDescent="0.25">
      <c r="A1089" s="2" t="s">
        <v>51</v>
      </c>
      <c r="B1089" s="2">
        <v>980.01</v>
      </c>
      <c r="C1089" s="2" t="s">
        <v>2129</v>
      </c>
      <c r="D1089" s="2" t="s">
        <v>2128</v>
      </c>
      <c r="E1089" s="2" t="s">
        <v>65</v>
      </c>
      <c r="F1089" s="3">
        <v>43398</v>
      </c>
      <c r="G1089" s="2" t="str">
        <f>"9780806162850"</f>
        <v>9780806162850</v>
      </c>
      <c r="H1089" s="2" t="s">
        <v>14</v>
      </c>
      <c r="I1089" s="4">
        <v>43911.772916666669</v>
      </c>
      <c r="J1089" s="2" t="s">
        <v>2130</v>
      </c>
    </row>
    <row r="1090" spans="1:10" ht="135" x14ac:dyDescent="0.25">
      <c r="A1090" s="2" t="s">
        <v>51</v>
      </c>
      <c r="B1090" s="2" t="s">
        <v>7991</v>
      </c>
      <c r="C1090" s="2" t="s">
        <v>7992</v>
      </c>
      <c r="D1090" s="2" t="s">
        <v>7990</v>
      </c>
      <c r="E1090" s="2" t="s">
        <v>156</v>
      </c>
      <c r="F1090" s="3">
        <v>41865</v>
      </c>
      <c r="G1090" s="2" t="str">
        <f>"9781469615653"</f>
        <v>9781469615653</v>
      </c>
      <c r="H1090" s="2" t="s">
        <v>14</v>
      </c>
      <c r="I1090" s="4">
        <v>43367.875694444447</v>
      </c>
      <c r="J1090" s="2" t="s">
        <v>7993</v>
      </c>
    </row>
    <row r="1091" spans="1:10" ht="135" x14ac:dyDescent="0.25">
      <c r="A1091" s="2" t="s">
        <v>51</v>
      </c>
      <c r="B1091" s="2">
        <v>941.50810000000001</v>
      </c>
      <c r="C1091" s="2" t="s">
        <v>5184</v>
      </c>
      <c r="D1091" s="2" t="s">
        <v>5183</v>
      </c>
      <c r="E1091" s="2" t="s">
        <v>156</v>
      </c>
      <c r="F1091" s="3">
        <v>42107</v>
      </c>
      <c r="G1091" s="2" t="str">
        <f>"9781469620121"</f>
        <v>9781469620121</v>
      </c>
      <c r="H1091" s="2" t="s">
        <v>14</v>
      </c>
      <c r="I1091" s="4">
        <v>43608.923611111109</v>
      </c>
      <c r="J1091" s="2" t="s">
        <v>5185</v>
      </c>
    </row>
    <row r="1092" spans="1:10" ht="135" x14ac:dyDescent="0.25">
      <c r="A1092" s="2" t="s">
        <v>51</v>
      </c>
      <c r="B1092" s="2">
        <v>944.04</v>
      </c>
      <c r="C1092" s="2" t="s">
        <v>1851</v>
      </c>
      <c r="D1092" s="2" t="s">
        <v>1850</v>
      </c>
      <c r="E1092" s="2" t="s">
        <v>11</v>
      </c>
      <c r="F1092" s="3">
        <v>42026</v>
      </c>
      <c r="G1092" s="2" t="str">
        <f>"9780813227108"</f>
        <v>9780813227108</v>
      </c>
      <c r="H1092" s="2" t="s">
        <v>14</v>
      </c>
      <c r="I1092" s="4">
        <v>43924.433333333334</v>
      </c>
      <c r="J1092" s="2" t="s">
        <v>1852</v>
      </c>
    </row>
    <row r="1093" spans="1:10" ht="135" x14ac:dyDescent="0.25">
      <c r="A1093" s="2" t="s">
        <v>51</v>
      </c>
      <c r="B1093" s="2">
        <v>974.90092200000004</v>
      </c>
      <c r="C1093" s="2" t="s">
        <v>9285</v>
      </c>
      <c r="D1093" s="2" t="s">
        <v>9284</v>
      </c>
      <c r="E1093" s="2" t="s">
        <v>9021</v>
      </c>
      <c r="F1093" s="3">
        <v>41680</v>
      </c>
      <c r="G1093" s="2" t="str">
        <f>"9780813562452"</f>
        <v>9780813562452</v>
      </c>
      <c r="H1093" s="2" t="s">
        <v>14</v>
      </c>
      <c r="I1093" s="4">
        <v>43190.502083333333</v>
      </c>
      <c r="J1093" s="2" t="s">
        <v>9286</v>
      </c>
    </row>
    <row r="1094" spans="1:10" ht="135" x14ac:dyDescent="0.25">
      <c r="A1094" s="2" t="s">
        <v>51</v>
      </c>
      <c r="B1094" s="2">
        <v>930</v>
      </c>
      <c r="C1094" s="2" t="s">
        <v>3910</v>
      </c>
      <c r="D1094" s="2" t="s">
        <v>3909</v>
      </c>
      <c r="E1094" s="2" t="s">
        <v>69</v>
      </c>
      <c r="F1094" s="3">
        <v>43677</v>
      </c>
      <c r="G1094" s="2" t="str">
        <f>"9780253048455"</f>
        <v>9780253048455</v>
      </c>
      <c r="H1094" s="2" t="s">
        <v>14</v>
      </c>
      <c r="I1094" s="4">
        <v>43739.834027777775</v>
      </c>
      <c r="J1094" s="2" t="s">
        <v>3911</v>
      </c>
    </row>
    <row r="1095" spans="1:10" ht="135" x14ac:dyDescent="0.25">
      <c r="A1095" s="2" t="s">
        <v>51</v>
      </c>
      <c r="B1095" s="2">
        <v>973.74208991620003</v>
      </c>
      <c r="C1095" s="2" t="s">
        <v>3542</v>
      </c>
      <c r="D1095" s="2" t="s">
        <v>3541</v>
      </c>
      <c r="E1095" s="2" t="s">
        <v>156</v>
      </c>
      <c r="F1095" s="3">
        <v>41519</v>
      </c>
      <c r="G1095" s="2" t="str">
        <f>"9781469612508"</f>
        <v>9781469612508</v>
      </c>
      <c r="H1095" s="2" t="s">
        <v>14</v>
      </c>
      <c r="I1095" s="4">
        <v>43776.693055555559</v>
      </c>
      <c r="J1095" s="2" t="s">
        <v>3543</v>
      </c>
    </row>
    <row r="1096" spans="1:10" ht="135" x14ac:dyDescent="0.25">
      <c r="A1096" s="2" t="s">
        <v>51</v>
      </c>
      <c r="B1096" s="2">
        <v>942.06100000000004</v>
      </c>
      <c r="C1096" s="2" t="s">
        <v>1563</v>
      </c>
      <c r="D1096" s="2" t="s">
        <v>1561</v>
      </c>
      <c r="E1096" s="2" t="s">
        <v>1562</v>
      </c>
      <c r="F1096" s="3">
        <v>34606</v>
      </c>
      <c r="G1096" s="2" t="str">
        <f>"9780752476162"</f>
        <v>9780752476162</v>
      </c>
      <c r="H1096" s="2" t="s">
        <v>14</v>
      </c>
      <c r="I1096" s="4">
        <v>43937.59375</v>
      </c>
      <c r="J1096" s="2" t="s">
        <v>1564</v>
      </c>
    </row>
    <row r="1097" spans="1:10" ht="135" x14ac:dyDescent="0.25">
      <c r="A1097" s="2" t="s">
        <v>51</v>
      </c>
      <c r="D1097" s="2" t="s">
        <v>171</v>
      </c>
      <c r="E1097" s="2" t="s">
        <v>172</v>
      </c>
      <c r="F1097" s="3">
        <v>43846</v>
      </c>
      <c r="G1097" s="2" t="str">
        <f>"9781786497895"</f>
        <v>9781786497895</v>
      </c>
      <c r="H1097" s="2" t="s">
        <v>14</v>
      </c>
      <c r="I1097" s="4">
        <v>44065.570138888892</v>
      </c>
      <c r="J1097" s="2" t="s">
        <v>173</v>
      </c>
    </row>
    <row r="1098" spans="1:10" ht="135" x14ac:dyDescent="0.25">
      <c r="A1098" s="2" t="s">
        <v>51</v>
      </c>
      <c r="B1098" s="2">
        <v>951.90427</v>
      </c>
      <c r="C1098" s="2" t="s">
        <v>850</v>
      </c>
      <c r="D1098" s="2" t="s">
        <v>849</v>
      </c>
      <c r="E1098" s="2" t="s">
        <v>54</v>
      </c>
      <c r="F1098" s="3">
        <v>43837</v>
      </c>
      <c r="G1098" s="2" t="str">
        <f>"9781503605879"</f>
        <v>9781503605879</v>
      </c>
      <c r="H1098" s="2" t="s">
        <v>14</v>
      </c>
      <c r="I1098" s="4">
        <v>43980.824305555558</v>
      </c>
      <c r="J1098" s="2" t="s">
        <v>851</v>
      </c>
    </row>
    <row r="1099" spans="1:10" ht="135" x14ac:dyDescent="0.25">
      <c r="A1099" s="2" t="s">
        <v>51</v>
      </c>
      <c r="B1099" s="2">
        <v>942.05509199999995</v>
      </c>
      <c r="C1099" s="2" t="s">
        <v>4601</v>
      </c>
      <c r="D1099" s="2" t="s">
        <v>4600</v>
      </c>
      <c r="E1099" s="2" t="s">
        <v>46</v>
      </c>
      <c r="F1099" s="3">
        <v>43525</v>
      </c>
      <c r="G1099" s="2" t="str">
        <f>"9781496213808"</f>
        <v>9781496213808</v>
      </c>
      <c r="H1099" s="2" t="s">
        <v>14</v>
      </c>
      <c r="I1099" s="4">
        <v>43644.756249999999</v>
      </c>
      <c r="J1099" s="2" t="s">
        <v>4602</v>
      </c>
    </row>
    <row r="1100" spans="1:10" ht="150" x14ac:dyDescent="0.25">
      <c r="A1100" s="2" t="s">
        <v>51</v>
      </c>
      <c r="B1100" s="2">
        <v>941.08100000000002</v>
      </c>
      <c r="C1100" s="2" t="s">
        <v>5613</v>
      </c>
      <c r="D1100" s="2" t="s">
        <v>5612</v>
      </c>
      <c r="E1100" s="2" t="s">
        <v>50</v>
      </c>
      <c r="F1100" s="3">
        <v>42370</v>
      </c>
      <c r="G1100" s="2" t="str">
        <f>"9780803285330"</f>
        <v>9780803285330</v>
      </c>
      <c r="H1100" s="2" t="s">
        <v>14</v>
      </c>
      <c r="I1100" s="4">
        <v>43586.382638888892</v>
      </c>
      <c r="J1100" s="2" t="s">
        <v>5614</v>
      </c>
    </row>
    <row r="1101" spans="1:10" ht="150" x14ac:dyDescent="0.25">
      <c r="A1101" s="2" t="s">
        <v>51</v>
      </c>
      <c r="B1101" s="2">
        <v>975</v>
      </c>
      <c r="C1101" s="2" t="s">
        <v>9372</v>
      </c>
      <c r="D1101" s="2" t="s">
        <v>9371</v>
      </c>
      <c r="E1101" s="2" t="s">
        <v>156</v>
      </c>
      <c r="F1101" s="3">
        <v>41744</v>
      </c>
      <c r="G1101" s="2" t="str">
        <f>"9781469614519"</f>
        <v>9781469614519</v>
      </c>
      <c r="H1101" s="2" t="s">
        <v>14</v>
      </c>
      <c r="I1101" s="4">
        <v>43177.825694444444</v>
      </c>
      <c r="J1101" s="2" t="s">
        <v>9373</v>
      </c>
    </row>
    <row r="1102" spans="1:10" ht="135" x14ac:dyDescent="0.25">
      <c r="A1102" s="2" t="s">
        <v>51</v>
      </c>
      <c r="B1102" s="2" t="s">
        <v>11941</v>
      </c>
      <c r="C1102" s="2" t="s">
        <v>11942</v>
      </c>
      <c r="D1102" s="2" t="s">
        <v>11940</v>
      </c>
      <c r="E1102" s="2" t="s">
        <v>11785</v>
      </c>
      <c r="F1102" s="3">
        <v>42534</v>
      </c>
      <c r="G1102" s="2" t="str">
        <f>"9780472121854"</f>
        <v>9780472121854</v>
      </c>
      <c r="H1102" s="2" t="s">
        <v>14</v>
      </c>
      <c r="I1102" s="4">
        <v>42869.697222222225</v>
      </c>
      <c r="J1102" s="2" t="s">
        <v>11943</v>
      </c>
    </row>
    <row r="1103" spans="1:10" ht="135" x14ac:dyDescent="0.25">
      <c r="A1103" s="2" t="s">
        <v>51</v>
      </c>
      <c r="B1103" s="2">
        <v>947.80049240090398</v>
      </c>
      <c r="C1103" s="2" t="s">
        <v>5838</v>
      </c>
      <c r="D1103" s="2" t="s">
        <v>5837</v>
      </c>
      <c r="E1103" s="2" t="s">
        <v>69</v>
      </c>
      <c r="F1103" s="3">
        <v>42779</v>
      </c>
      <c r="G1103" s="2" t="str">
        <f>"9780253024633"</f>
        <v>9780253024633</v>
      </c>
      <c r="H1103" s="2" t="s">
        <v>14</v>
      </c>
      <c r="I1103" s="4">
        <v>43566.616666666669</v>
      </c>
      <c r="J1103" s="2" t="s">
        <v>5839</v>
      </c>
    </row>
    <row r="1104" spans="1:10" ht="135" x14ac:dyDescent="0.25">
      <c r="A1104" s="2" t="s">
        <v>51</v>
      </c>
      <c r="B1104" s="2">
        <v>967.51802999999995</v>
      </c>
      <c r="C1104" s="2" t="s">
        <v>7499</v>
      </c>
      <c r="D1104" s="2" t="s">
        <v>7498</v>
      </c>
      <c r="E1104" s="2" t="s">
        <v>69</v>
      </c>
      <c r="F1104" s="3">
        <v>42555</v>
      </c>
      <c r="G1104" s="2" t="str">
        <f>"9780253021502"</f>
        <v>9780253021502</v>
      </c>
      <c r="H1104" s="2" t="s">
        <v>14</v>
      </c>
      <c r="I1104" s="4">
        <v>43412.091666666667</v>
      </c>
      <c r="J1104" s="2" t="s">
        <v>7500</v>
      </c>
    </row>
    <row r="1105" spans="1:10" ht="135" x14ac:dyDescent="0.25">
      <c r="A1105" s="2" t="s">
        <v>51</v>
      </c>
      <c r="B1105" s="2" t="s">
        <v>839</v>
      </c>
      <c r="C1105" s="2" t="s">
        <v>840</v>
      </c>
      <c r="D1105" s="2" t="s">
        <v>838</v>
      </c>
      <c r="E1105" s="2" t="s">
        <v>69</v>
      </c>
      <c r="F1105" s="3">
        <v>43641</v>
      </c>
      <c r="G1105" s="2" t="str">
        <f>"9780253042248"</f>
        <v>9780253042248</v>
      </c>
      <c r="H1105" s="2" t="s">
        <v>14</v>
      </c>
      <c r="I1105" s="4">
        <v>43982.469444444447</v>
      </c>
      <c r="J1105" s="2" t="s">
        <v>841</v>
      </c>
    </row>
    <row r="1106" spans="1:10" ht="135" x14ac:dyDescent="0.25">
      <c r="A1106" s="2" t="s">
        <v>51</v>
      </c>
      <c r="B1106" s="2" t="s">
        <v>2246</v>
      </c>
      <c r="C1106" s="2" t="s">
        <v>2247</v>
      </c>
      <c r="D1106" s="2" t="s">
        <v>2245</v>
      </c>
      <c r="E1106" s="2" t="s">
        <v>578</v>
      </c>
      <c r="F1106" s="3">
        <v>39820</v>
      </c>
      <c r="G1106" s="2" t="str">
        <f>"9780252092459"</f>
        <v>9780252092459</v>
      </c>
      <c r="H1106" s="2" t="s">
        <v>14</v>
      </c>
      <c r="I1106" s="4">
        <v>43897.933333333334</v>
      </c>
      <c r="J1106" s="2" t="s">
        <v>2248</v>
      </c>
    </row>
    <row r="1107" spans="1:10" ht="150" x14ac:dyDescent="0.25">
      <c r="A1107" s="2" t="s">
        <v>51</v>
      </c>
      <c r="B1107" s="2">
        <v>949.3</v>
      </c>
      <c r="C1107" s="2" t="s">
        <v>2955</v>
      </c>
      <c r="D1107" s="2" t="s">
        <v>2954</v>
      </c>
      <c r="E1107" s="2" t="s">
        <v>521</v>
      </c>
      <c r="F1107" s="3">
        <v>43600</v>
      </c>
      <c r="G1107" s="2" t="str">
        <f>"9789461662804"</f>
        <v>9789461662804</v>
      </c>
      <c r="H1107" s="2" t="s">
        <v>14</v>
      </c>
      <c r="I1107" s="4">
        <v>43838.80972222222</v>
      </c>
      <c r="J1107" s="2" t="s">
        <v>2956</v>
      </c>
    </row>
    <row r="1108" spans="1:10" ht="135" x14ac:dyDescent="0.25">
      <c r="A1108" s="2" t="s">
        <v>51</v>
      </c>
      <c r="B1108" s="2" t="s">
        <v>8852</v>
      </c>
      <c r="C1108" s="2" t="s">
        <v>8853</v>
      </c>
      <c r="D1108" s="2" t="s">
        <v>8851</v>
      </c>
      <c r="E1108" s="2" t="s">
        <v>856</v>
      </c>
      <c r="F1108" s="3">
        <v>42478</v>
      </c>
      <c r="G1108" s="2" t="str">
        <f>"9780295806389"</f>
        <v>9780295806389</v>
      </c>
      <c r="H1108" s="2" t="s">
        <v>14</v>
      </c>
      <c r="I1108" s="4">
        <v>43246.840277777781</v>
      </c>
      <c r="J1108" s="2" t="s">
        <v>8854</v>
      </c>
    </row>
    <row r="1109" spans="1:10" ht="135" x14ac:dyDescent="0.25">
      <c r="A1109" s="2" t="s">
        <v>51</v>
      </c>
      <c r="B1109" s="2">
        <v>980</v>
      </c>
      <c r="C1109" s="2" t="s">
        <v>3355</v>
      </c>
      <c r="D1109" s="2" t="s">
        <v>3354</v>
      </c>
      <c r="E1109" s="2" t="s">
        <v>526</v>
      </c>
      <c r="F1109" s="3">
        <v>35431</v>
      </c>
      <c r="G1109" s="2" t="str">
        <f>"9781477305447"</f>
        <v>9781477305447</v>
      </c>
      <c r="H1109" s="2" t="s">
        <v>14</v>
      </c>
      <c r="I1109" s="4">
        <v>43788.513194444444</v>
      </c>
      <c r="J1109" s="2" t="s">
        <v>3356</v>
      </c>
    </row>
    <row r="1110" spans="1:10" ht="135" x14ac:dyDescent="0.25">
      <c r="A1110" s="2" t="s">
        <v>51</v>
      </c>
      <c r="B1110" s="2" t="s">
        <v>655</v>
      </c>
      <c r="C1110" s="2" t="s">
        <v>656</v>
      </c>
      <c r="D1110" s="2" t="s">
        <v>654</v>
      </c>
      <c r="E1110" s="2" t="s">
        <v>50</v>
      </c>
      <c r="F1110" s="3">
        <v>43282</v>
      </c>
      <c r="G1110" s="2" t="str">
        <f>"9781496207258"</f>
        <v>9781496207258</v>
      </c>
      <c r="H1110" s="2" t="s">
        <v>14</v>
      </c>
      <c r="I1110" s="4">
        <v>44002.598611111112</v>
      </c>
      <c r="J1110" s="2" t="s">
        <v>657</v>
      </c>
    </row>
    <row r="1111" spans="1:10" ht="135" x14ac:dyDescent="0.25">
      <c r="A1111" s="2" t="s">
        <v>51</v>
      </c>
      <c r="D1111" s="2" t="s">
        <v>227</v>
      </c>
      <c r="E1111" s="2" t="s">
        <v>54</v>
      </c>
      <c r="F1111" s="3">
        <v>43676</v>
      </c>
      <c r="G1111" s="2" t="str">
        <f>"9781503609662"</f>
        <v>9781503609662</v>
      </c>
      <c r="H1111" s="2" t="s">
        <v>14</v>
      </c>
      <c r="I1111" s="4">
        <v>44054.424305555556</v>
      </c>
      <c r="J1111" s="2" t="s">
        <v>228</v>
      </c>
    </row>
    <row r="1112" spans="1:10" ht="180" x14ac:dyDescent="0.25">
      <c r="A1112" s="2" t="s">
        <v>51</v>
      </c>
      <c r="B1112" s="2" t="s">
        <v>7862</v>
      </c>
      <c r="C1112" s="2" t="s">
        <v>7863</v>
      </c>
      <c r="D1112" s="2" t="s">
        <v>7861</v>
      </c>
      <c r="E1112" s="2" t="s">
        <v>156</v>
      </c>
      <c r="F1112" s="3">
        <v>42786</v>
      </c>
      <c r="G1112" s="2" t="str">
        <f>"9781469631509"</f>
        <v>9781469631509</v>
      </c>
      <c r="H1112" s="2" t="s">
        <v>14</v>
      </c>
      <c r="I1112" s="4">
        <v>43383.365277777775</v>
      </c>
      <c r="J1112" s="2" t="s">
        <v>7864</v>
      </c>
    </row>
    <row r="1113" spans="1:10" ht="135" x14ac:dyDescent="0.25">
      <c r="A1113" s="2" t="s">
        <v>51</v>
      </c>
      <c r="B1113" s="2" t="s">
        <v>6119</v>
      </c>
      <c r="C1113" s="2" t="s">
        <v>6120</v>
      </c>
      <c r="D1113" s="2" t="s">
        <v>6118</v>
      </c>
      <c r="E1113" s="2" t="s">
        <v>5304</v>
      </c>
      <c r="F1113" s="3">
        <v>42840</v>
      </c>
      <c r="G1113" s="2" t="str">
        <f>"9780870718809"</f>
        <v>9780870718809</v>
      </c>
      <c r="H1113" s="2" t="s">
        <v>14</v>
      </c>
      <c r="I1113" s="4">
        <v>43538.629861111112</v>
      </c>
      <c r="J1113" s="2" t="s">
        <v>6121</v>
      </c>
    </row>
    <row r="1114" spans="1:10" ht="135" x14ac:dyDescent="0.25">
      <c r="A1114" s="2" t="s">
        <v>51</v>
      </c>
      <c r="B1114" s="2" t="s">
        <v>12896</v>
      </c>
      <c r="C1114" s="2" t="s">
        <v>12897</v>
      </c>
      <c r="D1114" s="2" t="s">
        <v>12895</v>
      </c>
      <c r="E1114" s="2" t="s">
        <v>4660</v>
      </c>
      <c r="F1114" s="3">
        <v>39843</v>
      </c>
      <c r="G1114" s="2" t="str">
        <f>"9780813150093"</f>
        <v>9780813150093</v>
      </c>
      <c r="H1114" s="2" t="s">
        <v>14</v>
      </c>
      <c r="I1114" s="4">
        <v>42762.45208333333</v>
      </c>
      <c r="J1114" s="2" t="s">
        <v>12898</v>
      </c>
    </row>
    <row r="1115" spans="1:10" ht="135" x14ac:dyDescent="0.25">
      <c r="A1115" s="2" t="s">
        <v>51</v>
      </c>
      <c r="B1115" s="2">
        <v>959.3</v>
      </c>
      <c r="C1115" s="2" t="s">
        <v>7930</v>
      </c>
      <c r="D1115" s="2" t="s">
        <v>7929</v>
      </c>
      <c r="E1115" s="2" t="s">
        <v>284</v>
      </c>
      <c r="F1115" s="3">
        <v>42035</v>
      </c>
      <c r="G1115" s="2" t="str">
        <f>"9780824854379"</f>
        <v>9780824854379</v>
      </c>
      <c r="H1115" s="2" t="s">
        <v>14</v>
      </c>
      <c r="I1115" s="4">
        <v>43375.744444444441</v>
      </c>
      <c r="J1115" s="2" t="s">
        <v>7931</v>
      </c>
    </row>
    <row r="1116" spans="1:10" ht="135" x14ac:dyDescent="0.25">
      <c r="A1116" s="2" t="s">
        <v>51</v>
      </c>
      <c r="B1116" s="2" t="s">
        <v>3193</v>
      </c>
      <c r="C1116" s="2" t="s">
        <v>3194</v>
      </c>
      <c r="D1116" s="2" t="s">
        <v>3192</v>
      </c>
      <c r="E1116" s="2" t="s">
        <v>156</v>
      </c>
      <c r="F1116" s="3">
        <v>43353</v>
      </c>
      <c r="G1116" s="2" t="str">
        <f>"9781469646398"</f>
        <v>9781469646398</v>
      </c>
      <c r="H1116" s="2" t="s">
        <v>14</v>
      </c>
      <c r="I1116" s="4">
        <v>43800.676388888889</v>
      </c>
      <c r="J1116" s="2" t="s">
        <v>3195</v>
      </c>
    </row>
    <row r="1117" spans="1:10" ht="150" x14ac:dyDescent="0.25">
      <c r="A1117" s="2" t="s">
        <v>51</v>
      </c>
      <c r="C1117" s="2" t="s">
        <v>7259</v>
      </c>
      <c r="D1117" s="2" t="s">
        <v>7258</v>
      </c>
      <c r="E1117" s="2" t="s">
        <v>221</v>
      </c>
      <c r="F1117" s="3">
        <v>43027</v>
      </c>
      <c r="G1117" s="2" t="str">
        <f>"9789888455003"</f>
        <v>9789888455003</v>
      </c>
      <c r="H1117" s="2" t="s">
        <v>14</v>
      </c>
      <c r="I1117" s="4">
        <v>43430.930555555555</v>
      </c>
      <c r="J1117" s="2" t="s">
        <v>7260</v>
      </c>
    </row>
    <row r="1118" spans="1:10" ht="150" x14ac:dyDescent="0.25">
      <c r="A1118" s="2" t="s">
        <v>51</v>
      </c>
      <c r="B1118" s="2">
        <v>956.01499999999999</v>
      </c>
      <c r="C1118" s="2" t="s">
        <v>225</v>
      </c>
      <c r="D1118" s="2" t="s">
        <v>224</v>
      </c>
      <c r="E1118" s="2" t="s">
        <v>69</v>
      </c>
      <c r="F1118" s="3">
        <v>42794</v>
      </c>
      <c r="G1118" s="2" t="str">
        <f>"9780253024350"</f>
        <v>9780253024350</v>
      </c>
      <c r="H1118" s="2" t="s">
        <v>14</v>
      </c>
      <c r="I1118" s="4">
        <v>44054.738888888889</v>
      </c>
      <c r="J1118" s="2" t="s">
        <v>226</v>
      </c>
    </row>
    <row r="1119" spans="1:10" ht="135" x14ac:dyDescent="0.25">
      <c r="A1119" s="2" t="s">
        <v>51</v>
      </c>
      <c r="B1119" s="2" t="s">
        <v>4793</v>
      </c>
      <c r="C1119" s="2" t="s">
        <v>4794</v>
      </c>
      <c r="D1119" s="2" t="s">
        <v>4792</v>
      </c>
      <c r="E1119" s="2" t="s">
        <v>856</v>
      </c>
      <c r="F1119" s="3">
        <v>39326</v>
      </c>
      <c r="G1119" s="2" t="str">
        <f>"9780295997858"</f>
        <v>9780295997858</v>
      </c>
      <c r="H1119" s="2" t="s">
        <v>14</v>
      </c>
      <c r="I1119" s="4">
        <v>43625.456944444442</v>
      </c>
      <c r="J1119" s="2" t="s">
        <v>4795</v>
      </c>
    </row>
    <row r="1120" spans="1:10" ht="135" x14ac:dyDescent="0.25">
      <c r="A1120" s="2" t="s">
        <v>51</v>
      </c>
      <c r="B1120" s="2">
        <v>980.01</v>
      </c>
      <c r="C1120" s="2" t="s">
        <v>843</v>
      </c>
      <c r="D1120" s="2" t="s">
        <v>842</v>
      </c>
      <c r="E1120" s="2" t="s">
        <v>130</v>
      </c>
      <c r="F1120" s="3">
        <v>43690</v>
      </c>
      <c r="G1120" s="2" t="str">
        <f>"9780813057200"</f>
        <v>9780813057200</v>
      </c>
      <c r="H1120" s="2" t="s">
        <v>14</v>
      </c>
      <c r="I1120" s="4">
        <v>43981.890972222223</v>
      </c>
      <c r="J1120" s="2" t="s">
        <v>844</v>
      </c>
    </row>
    <row r="1121" spans="1:10" ht="135" x14ac:dyDescent="0.25">
      <c r="A1121" s="2" t="s">
        <v>51</v>
      </c>
      <c r="B1121" s="2" t="s">
        <v>12539</v>
      </c>
      <c r="C1121" s="2" t="s">
        <v>12540</v>
      </c>
      <c r="D1121" s="2" t="s">
        <v>12538</v>
      </c>
      <c r="E1121" s="2" t="s">
        <v>6704</v>
      </c>
      <c r="F1121" s="3">
        <v>41676</v>
      </c>
      <c r="G1121" s="2" t="str">
        <f>"9780801470677"</f>
        <v>9780801470677</v>
      </c>
      <c r="H1121" s="2" t="s">
        <v>14</v>
      </c>
      <c r="I1121" s="4">
        <v>42796.615972222222</v>
      </c>
      <c r="J1121" s="2" t="s">
        <v>12541</v>
      </c>
    </row>
    <row r="1122" spans="1:10" ht="135" x14ac:dyDescent="0.25">
      <c r="A1122" s="2" t="s">
        <v>51</v>
      </c>
      <c r="B1122" s="2" t="s">
        <v>4269</v>
      </c>
      <c r="C1122" s="2" t="s">
        <v>4270</v>
      </c>
      <c r="D1122" s="2" t="s">
        <v>4268</v>
      </c>
      <c r="E1122" s="2" t="s">
        <v>397</v>
      </c>
      <c r="F1122" s="3">
        <v>42769</v>
      </c>
      <c r="G1122" s="2" t="str">
        <f>"9780822981602"</f>
        <v>9780822981602</v>
      </c>
      <c r="H1122" s="2" t="s">
        <v>14</v>
      </c>
      <c r="I1122" s="4">
        <v>43688.458333333336</v>
      </c>
      <c r="J1122" s="2" t="s">
        <v>4271</v>
      </c>
    </row>
    <row r="1123" spans="1:10" ht="135" x14ac:dyDescent="0.25">
      <c r="A1123" s="2" t="s">
        <v>51</v>
      </c>
      <c r="B1123" s="2" t="s">
        <v>12499</v>
      </c>
      <c r="C1123" s="2" t="s">
        <v>12500</v>
      </c>
      <c r="D1123" s="2" t="s">
        <v>12498</v>
      </c>
      <c r="E1123" s="2" t="s">
        <v>310</v>
      </c>
      <c r="F1123" s="3">
        <v>42342</v>
      </c>
      <c r="G1123" s="2" t="str">
        <f>"9780815653455"</f>
        <v>9780815653455</v>
      </c>
      <c r="H1123" s="2" t="s">
        <v>14</v>
      </c>
      <c r="I1123" s="4">
        <v>42801.462500000001</v>
      </c>
      <c r="J1123" s="2" t="s">
        <v>12501</v>
      </c>
    </row>
    <row r="1124" spans="1:10" ht="135" x14ac:dyDescent="0.25">
      <c r="A1124" s="2" t="s">
        <v>51</v>
      </c>
      <c r="B1124" s="2">
        <v>947.08609200000001</v>
      </c>
      <c r="C1124" s="2" t="s">
        <v>7018</v>
      </c>
      <c r="D1124" s="2" t="s">
        <v>7017</v>
      </c>
      <c r="E1124" s="2" t="s">
        <v>268</v>
      </c>
      <c r="F1124" s="3">
        <v>43137</v>
      </c>
      <c r="G1124" s="2" t="str">
        <f>"9780815732440"</f>
        <v>9780815732440</v>
      </c>
      <c r="H1124" s="2" t="s">
        <v>14</v>
      </c>
      <c r="I1124" s="4">
        <v>43463.414583333331</v>
      </c>
      <c r="J1124" s="2" t="s">
        <v>7019</v>
      </c>
    </row>
    <row r="1125" spans="1:10" ht="135" x14ac:dyDescent="0.25">
      <c r="A1125" s="2" t="s">
        <v>51</v>
      </c>
      <c r="B1125" s="2">
        <v>972.91030000000001</v>
      </c>
      <c r="C1125" s="2" t="s">
        <v>3878</v>
      </c>
      <c r="D1125" s="2" t="s">
        <v>3877</v>
      </c>
      <c r="E1125" s="2" t="s">
        <v>2508</v>
      </c>
      <c r="F1125" s="3">
        <v>43409</v>
      </c>
      <c r="G1125" s="2" t="str">
        <f>"9781469645377"</f>
        <v>9781469645377</v>
      </c>
      <c r="H1125" s="2" t="s">
        <v>14</v>
      </c>
      <c r="I1125" s="4">
        <v>43746.70208333333</v>
      </c>
      <c r="J1125" s="2" t="s">
        <v>3879</v>
      </c>
    </row>
    <row r="1126" spans="1:10" ht="135" x14ac:dyDescent="0.25">
      <c r="A1126" s="2" t="s">
        <v>51</v>
      </c>
      <c r="B1126" s="2">
        <v>973.8</v>
      </c>
      <c r="C1126" s="2" t="s">
        <v>9552</v>
      </c>
      <c r="D1126" s="2" t="s">
        <v>9551</v>
      </c>
      <c r="E1126" s="2" t="s">
        <v>156</v>
      </c>
      <c r="F1126" s="3">
        <v>41939</v>
      </c>
      <c r="G1126" s="2" t="str">
        <f>"9781469617589"</f>
        <v>9781469617589</v>
      </c>
      <c r="H1126" s="2" t="s">
        <v>14</v>
      </c>
      <c r="I1126" s="4">
        <v>43154.977083333331</v>
      </c>
      <c r="J1126" s="2" t="s">
        <v>9553</v>
      </c>
    </row>
    <row r="1127" spans="1:10" ht="165" x14ac:dyDescent="0.25">
      <c r="A1127" s="2" t="s">
        <v>51</v>
      </c>
      <c r="B1127" s="2">
        <v>981</v>
      </c>
      <c r="C1127" s="2" t="s">
        <v>6103</v>
      </c>
      <c r="D1127" s="2" t="s">
        <v>6102</v>
      </c>
      <c r="E1127" s="2" t="s">
        <v>390</v>
      </c>
      <c r="F1127" s="3">
        <v>43038</v>
      </c>
      <c r="G1127" s="2" t="str">
        <f>"9780268102357"</f>
        <v>9780268102357</v>
      </c>
      <c r="H1127" s="2" t="s">
        <v>14</v>
      </c>
      <c r="I1127" s="4">
        <v>43540.7</v>
      </c>
      <c r="J1127" s="2" t="s">
        <v>6104</v>
      </c>
    </row>
    <row r="1128" spans="1:10" ht="135" x14ac:dyDescent="0.25">
      <c r="A1128" s="2" t="s">
        <v>51</v>
      </c>
      <c r="B1128" s="2">
        <v>943.60310000000004</v>
      </c>
      <c r="C1128" s="2" t="s">
        <v>8985</v>
      </c>
      <c r="D1128" s="2" t="s">
        <v>8984</v>
      </c>
      <c r="E1128" s="2" t="s">
        <v>723</v>
      </c>
      <c r="F1128" s="3">
        <v>40767</v>
      </c>
      <c r="G1128" s="2" t="str">
        <f>"9781612491790"</f>
        <v>9781612491790</v>
      </c>
      <c r="H1128" s="2" t="s">
        <v>14</v>
      </c>
      <c r="I1128" s="4">
        <v>43229.883333333331</v>
      </c>
      <c r="J1128" s="2" t="s">
        <v>8986</v>
      </c>
    </row>
    <row r="1129" spans="1:10" ht="135" x14ac:dyDescent="0.25">
      <c r="A1129" s="2" t="s">
        <v>51</v>
      </c>
      <c r="B1129" s="2">
        <v>940.5318092</v>
      </c>
      <c r="C1129" s="2" t="s">
        <v>3485</v>
      </c>
      <c r="D1129" s="2" t="s">
        <v>3484</v>
      </c>
      <c r="E1129" s="2" t="s">
        <v>69</v>
      </c>
      <c r="F1129" s="3">
        <v>43140</v>
      </c>
      <c r="G1129" s="2" t="str">
        <f>"9780253032188"</f>
        <v>9780253032188</v>
      </c>
      <c r="H1129" s="2" t="s">
        <v>14</v>
      </c>
      <c r="I1129" s="4">
        <v>43779.925000000003</v>
      </c>
      <c r="J1129" s="2" t="s">
        <v>3486</v>
      </c>
    </row>
    <row r="1130" spans="1:10" ht="135" x14ac:dyDescent="0.25">
      <c r="A1130" s="2" t="s">
        <v>51</v>
      </c>
      <c r="B1130" s="2" t="s">
        <v>277</v>
      </c>
      <c r="C1130" s="2" t="s">
        <v>5271</v>
      </c>
      <c r="D1130" s="2" t="s">
        <v>5270</v>
      </c>
      <c r="E1130" s="2" t="s">
        <v>2846</v>
      </c>
      <c r="F1130" s="3">
        <v>43293</v>
      </c>
      <c r="G1130" s="2" t="str">
        <f>"9781946684424"</f>
        <v>9781946684424</v>
      </c>
      <c r="H1130" s="2" t="s">
        <v>14</v>
      </c>
      <c r="I1130" s="4">
        <v>43606.594444444447</v>
      </c>
      <c r="J1130" s="2" t="s">
        <v>5272</v>
      </c>
    </row>
    <row r="1131" spans="1:10" ht="135" x14ac:dyDescent="0.25">
      <c r="A1131" s="2" t="s">
        <v>51</v>
      </c>
      <c r="B1131" s="2">
        <v>951.03599999999994</v>
      </c>
      <c r="C1131" s="2" t="s">
        <v>6747</v>
      </c>
      <c r="D1131" s="2" t="s">
        <v>6746</v>
      </c>
      <c r="E1131" s="2" t="s">
        <v>54</v>
      </c>
      <c r="F1131" s="3">
        <v>43158</v>
      </c>
      <c r="G1131" s="2" t="str">
        <f>"9781503601093"</f>
        <v>9781503601093</v>
      </c>
      <c r="H1131" s="2" t="s">
        <v>14</v>
      </c>
      <c r="I1131" s="4">
        <v>43490.059027777781</v>
      </c>
      <c r="J1131" s="2" t="s">
        <v>6748</v>
      </c>
    </row>
    <row r="1132" spans="1:10" ht="135" x14ac:dyDescent="0.25">
      <c r="A1132" s="2" t="s">
        <v>51</v>
      </c>
      <c r="B1132" s="2">
        <v>951.00720000000001</v>
      </c>
      <c r="C1132" s="2" t="s">
        <v>6768</v>
      </c>
      <c r="D1132" s="2" t="s">
        <v>6767</v>
      </c>
      <c r="E1132" s="2" t="s">
        <v>221</v>
      </c>
      <c r="F1132" s="3">
        <v>43264</v>
      </c>
      <c r="G1132" s="2" t="str">
        <f>"9789888455171"</f>
        <v>9789888455171</v>
      </c>
      <c r="H1132" s="2" t="s">
        <v>14</v>
      </c>
      <c r="I1132" s="4">
        <v>43488.652083333334</v>
      </c>
      <c r="J1132" s="2" t="s">
        <v>6769</v>
      </c>
    </row>
    <row r="1133" spans="1:10" ht="150" x14ac:dyDescent="0.25">
      <c r="A1133" s="2" t="s">
        <v>51</v>
      </c>
      <c r="B1133" s="2" t="s">
        <v>5568</v>
      </c>
      <c r="C1133" s="2" t="s">
        <v>5569</v>
      </c>
      <c r="D1133" s="2" t="s">
        <v>5567</v>
      </c>
      <c r="E1133" s="2" t="s">
        <v>54</v>
      </c>
      <c r="F1133" s="3">
        <v>43263</v>
      </c>
      <c r="G1133" s="2" t="str">
        <f>"9781503605534"</f>
        <v>9781503605534</v>
      </c>
      <c r="H1133" s="2" t="s">
        <v>14</v>
      </c>
      <c r="I1133" s="4">
        <v>43587.832638888889</v>
      </c>
      <c r="J1133" s="2" t="s">
        <v>5570</v>
      </c>
    </row>
    <row r="1134" spans="1:10" ht="135" x14ac:dyDescent="0.25">
      <c r="A1134" s="2" t="s">
        <v>51</v>
      </c>
      <c r="B1134" s="2" t="s">
        <v>1458</v>
      </c>
      <c r="C1134" s="2" t="s">
        <v>5076</v>
      </c>
      <c r="D1134" s="2" t="s">
        <v>5075</v>
      </c>
      <c r="E1134" s="2" t="s">
        <v>164</v>
      </c>
      <c r="F1134" s="3">
        <v>42658</v>
      </c>
      <c r="G1134" s="2" t="str">
        <f>"9780826357335"</f>
        <v>9780826357335</v>
      </c>
      <c r="H1134" s="2" t="s">
        <v>14</v>
      </c>
      <c r="I1134" s="4">
        <v>43611.675694444442</v>
      </c>
      <c r="J1134" s="2" t="s">
        <v>5077</v>
      </c>
    </row>
    <row r="1135" spans="1:10" ht="135" x14ac:dyDescent="0.25">
      <c r="A1135" s="2" t="s">
        <v>51</v>
      </c>
      <c r="B1135" s="2">
        <v>973</v>
      </c>
      <c r="C1135" s="2" t="s">
        <v>9688</v>
      </c>
      <c r="D1135" s="2" t="s">
        <v>9687</v>
      </c>
      <c r="E1135" s="2" t="s">
        <v>156</v>
      </c>
      <c r="F1135" s="3">
        <v>41876</v>
      </c>
      <c r="G1135" s="2" t="str">
        <f>"9781469615370"</f>
        <v>9781469615370</v>
      </c>
      <c r="H1135" s="2" t="s">
        <v>14</v>
      </c>
      <c r="I1135" s="4">
        <v>43136.75</v>
      </c>
      <c r="J1135" s="2" t="s">
        <v>9689</v>
      </c>
    </row>
    <row r="1136" spans="1:10" ht="135" x14ac:dyDescent="0.25">
      <c r="A1136" s="2" t="s">
        <v>51</v>
      </c>
      <c r="B1136" s="2" t="s">
        <v>12625</v>
      </c>
      <c r="C1136" s="2" t="s">
        <v>12626</v>
      </c>
      <c r="D1136" s="2" t="s">
        <v>12624</v>
      </c>
      <c r="E1136" s="2" t="s">
        <v>156</v>
      </c>
      <c r="F1136" s="3">
        <v>41715</v>
      </c>
      <c r="G1136" s="2" t="str">
        <f>"9781469615622"</f>
        <v>9781469615622</v>
      </c>
      <c r="H1136" s="2" t="s">
        <v>14</v>
      </c>
      <c r="I1136" s="4">
        <v>42788.965277777781</v>
      </c>
      <c r="J1136" s="2" t="s">
        <v>12627</v>
      </c>
    </row>
    <row r="1137" spans="1:10" ht="135" x14ac:dyDescent="0.25">
      <c r="A1137" s="2" t="s">
        <v>51</v>
      </c>
      <c r="B1137" s="2" t="s">
        <v>3160</v>
      </c>
      <c r="C1137" s="2" t="s">
        <v>13062</v>
      </c>
      <c r="D1137" s="2" t="s">
        <v>13060</v>
      </c>
      <c r="E1137" s="2" t="s">
        <v>13061</v>
      </c>
      <c r="F1137" s="3">
        <v>41935</v>
      </c>
      <c r="G1137" s="2" t="str">
        <f>"9781442607156"</f>
        <v>9781442607156</v>
      </c>
      <c r="H1137" s="2" t="s">
        <v>14</v>
      </c>
      <c r="I1137" s="4">
        <v>42739.084027777775</v>
      </c>
      <c r="J1137" s="2" t="s">
        <v>13063</v>
      </c>
    </row>
    <row r="1138" spans="1:10" ht="150" x14ac:dyDescent="0.25">
      <c r="A1138" s="2" t="s">
        <v>51</v>
      </c>
      <c r="B1138" s="2">
        <v>975</v>
      </c>
      <c r="C1138" s="2" t="s">
        <v>8490</v>
      </c>
      <c r="D1138" s="2" t="s">
        <v>8489</v>
      </c>
      <c r="E1138" s="2" t="s">
        <v>156</v>
      </c>
      <c r="F1138" s="3">
        <v>42779</v>
      </c>
      <c r="G1138" s="2" t="str">
        <f>"9781469631073"</f>
        <v>9781469631073</v>
      </c>
      <c r="H1138" s="2" t="s">
        <v>14</v>
      </c>
      <c r="I1138" s="4">
        <v>43301.411805555559</v>
      </c>
      <c r="J1138" s="2" t="s">
        <v>8491</v>
      </c>
    </row>
    <row r="1139" spans="1:10" ht="150" x14ac:dyDescent="0.25">
      <c r="A1139" s="2" t="s">
        <v>51</v>
      </c>
      <c r="B1139" s="2" t="s">
        <v>12800</v>
      </c>
      <c r="C1139" s="2" t="s">
        <v>12801</v>
      </c>
      <c r="D1139" s="2" t="s">
        <v>12799</v>
      </c>
      <c r="E1139" s="2" t="s">
        <v>89</v>
      </c>
      <c r="F1139" s="3">
        <v>42461</v>
      </c>
      <c r="G1139" s="2" t="str">
        <f>"9781785331152"</f>
        <v>9781785331152</v>
      </c>
      <c r="H1139" s="2" t="s">
        <v>14</v>
      </c>
      <c r="I1139" s="4">
        <v>42772.807638888888</v>
      </c>
      <c r="J1139" s="2" t="s">
        <v>12802</v>
      </c>
    </row>
    <row r="1140" spans="1:10" ht="135" x14ac:dyDescent="0.25">
      <c r="A1140" s="2" t="s">
        <v>51</v>
      </c>
      <c r="B1140" s="2">
        <v>973.93209200000001</v>
      </c>
      <c r="C1140" s="2" t="s">
        <v>4639</v>
      </c>
      <c r="D1140" s="2" t="s">
        <v>4638</v>
      </c>
      <c r="E1140" s="2" t="s">
        <v>2902</v>
      </c>
      <c r="F1140" s="3">
        <v>41685</v>
      </c>
      <c r="G1140" s="2" t="str">
        <f>"9781623491215"</f>
        <v>9781623491215</v>
      </c>
      <c r="H1140" s="2" t="s">
        <v>14</v>
      </c>
      <c r="I1140" s="4">
        <v>43644.37777777778</v>
      </c>
      <c r="J1140" s="2" t="s">
        <v>4640</v>
      </c>
    </row>
    <row r="1141" spans="1:10" ht="135" x14ac:dyDescent="0.25">
      <c r="A1141" s="2" t="s">
        <v>51</v>
      </c>
      <c r="B1141" s="2" t="s">
        <v>7443</v>
      </c>
      <c r="C1141" s="2" t="s">
        <v>7444</v>
      </c>
      <c r="D1141" s="2" t="s">
        <v>7442</v>
      </c>
      <c r="E1141" s="2" t="s">
        <v>397</v>
      </c>
      <c r="F1141" s="3">
        <v>43069</v>
      </c>
      <c r="G1141" s="2" t="str">
        <f>"9780822983217"</f>
        <v>9780822983217</v>
      </c>
      <c r="H1141" s="2" t="s">
        <v>14</v>
      </c>
      <c r="I1141" s="4">
        <v>43416.379166666666</v>
      </c>
      <c r="J1141" s="2" t="s">
        <v>7445</v>
      </c>
    </row>
    <row r="1142" spans="1:10" ht="135" x14ac:dyDescent="0.25">
      <c r="A1142" s="2" t="s">
        <v>51</v>
      </c>
      <c r="B1142" s="2" t="s">
        <v>9368</v>
      </c>
      <c r="C1142" s="2" t="s">
        <v>9369</v>
      </c>
      <c r="D1142" s="2" t="s">
        <v>9367</v>
      </c>
      <c r="E1142" s="2" t="s">
        <v>284</v>
      </c>
      <c r="F1142" s="3">
        <v>42735</v>
      </c>
      <c r="G1142" s="2" t="str">
        <f>"9780824855185"</f>
        <v>9780824855185</v>
      </c>
      <c r="H1142" s="2" t="s">
        <v>14</v>
      </c>
      <c r="I1142" s="4">
        <v>43178.615972222222</v>
      </c>
      <c r="J1142" s="2" t="s">
        <v>9370</v>
      </c>
    </row>
    <row r="1143" spans="1:10" ht="135" x14ac:dyDescent="0.25">
      <c r="A1143" s="2" t="s">
        <v>51</v>
      </c>
      <c r="B1143" s="2">
        <v>943.08500000000004</v>
      </c>
      <c r="C1143" s="2" t="s">
        <v>8991</v>
      </c>
      <c r="D1143" s="2" t="s">
        <v>8990</v>
      </c>
      <c r="E1143" s="2" t="s">
        <v>4660</v>
      </c>
      <c r="F1143" s="3">
        <v>35916</v>
      </c>
      <c r="G1143" s="2" t="str">
        <f>"9780813149110"</f>
        <v>9780813149110</v>
      </c>
      <c r="H1143" s="2" t="s">
        <v>14</v>
      </c>
      <c r="I1143" s="4">
        <v>43229.679166666669</v>
      </c>
      <c r="J1143" s="2" t="s">
        <v>8992</v>
      </c>
    </row>
    <row r="1144" spans="1:10" ht="135" x14ac:dyDescent="0.25">
      <c r="A1144" s="2" t="s">
        <v>51</v>
      </c>
      <c r="B1144" s="2" t="s">
        <v>11226</v>
      </c>
      <c r="C1144" s="2" t="s">
        <v>11227</v>
      </c>
      <c r="D1144" s="2" t="s">
        <v>11225</v>
      </c>
      <c r="E1144" s="2" t="s">
        <v>6704</v>
      </c>
      <c r="F1144" s="3">
        <v>41625</v>
      </c>
      <c r="G1144" s="2" t="str">
        <f>"9780801469145"</f>
        <v>9780801469145</v>
      </c>
      <c r="H1144" s="2" t="s">
        <v>14</v>
      </c>
      <c r="I1144" s="4">
        <v>43004.546527777777</v>
      </c>
      <c r="J1144" s="2" t="s">
        <v>11228</v>
      </c>
    </row>
    <row r="1145" spans="1:10" ht="135" x14ac:dyDescent="0.25">
      <c r="A1145" s="2" t="s">
        <v>51</v>
      </c>
      <c r="B1145" s="2">
        <v>973.21091999999999</v>
      </c>
      <c r="C1145" s="2" t="s">
        <v>4592</v>
      </c>
      <c r="D1145" s="2" t="s">
        <v>4591</v>
      </c>
      <c r="E1145" s="2" t="s">
        <v>1854</v>
      </c>
      <c r="F1145" s="3">
        <v>42085</v>
      </c>
      <c r="G1145" s="2" t="str">
        <f>"9781611687170"</f>
        <v>9781611687170</v>
      </c>
      <c r="H1145" s="2" t="s">
        <v>14</v>
      </c>
      <c r="I1145" s="4">
        <v>43645.925000000003</v>
      </c>
      <c r="J1145" s="2" t="s">
        <v>4593</v>
      </c>
    </row>
    <row r="1146" spans="1:10" ht="135" x14ac:dyDescent="0.25">
      <c r="A1146" s="2" t="s">
        <v>51</v>
      </c>
      <c r="B1146" s="2" t="s">
        <v>11084</v>
      </c>
      <c r="C1146" s="2" t="s">
        <v>11085</v>
      </c>
      <c r="D1146" s="2" t="s">
        <v>11083</v>
      </c>
      <c r="E1146" s="2" t="s">
        <v>156</v>
      </c>
      <c r="F1146" s="3">
        <v>42779</v>
      </c>
      <c r="G1146" s="2" t="str">
        <f>"9781469631233"</f>
        <v>9781469631233</v>
      </c>
      <c r="H1146" s="2" t="s">
        <v>14</v>
      </c>
      <c r="I1146" s="4">
        <v>43018.667361111111</v>
      </c>
      <c r="J1146" s="2" t="s">
        <v>11086</v>
      </c>
    </row>
    <row r="1147" spans="1:10" ht="135" x14ac:dyDescent="0.25">
      <c r="A1147" s="2" t="s">
        <v>51</v>
      </c>
      <c r="B1147" s="2">
        <v>956.10154</v>
      </c>
      <c r="C1147" s="2" t="s">
        <v>20</v>
      </c>
      <c r="D1147" s="2" t="s">
        <v>1731</v>
      </c>
      <c r="E1147" s="2" t="s">
        <v>37</v>
      </c>
      <c r="F1147" s="3">
        <v>42648</v>
      </c>
      <c r="G1147" s="2" t="str">
        <f>"9783319410609"</f>
        <v>9783319410609</v>
      </c>
      <c r="H1147" s="2" t="s">
        <v>14</v>
      </c>
      <c r="I1147" s="4">
        <v>43930.351388888892</v>
      </c>
      <c r="J1147" s="2" t="s">
        <v>1732</v>
      </c>
    </row>
    <row r="1148" spans="1:10" ht="135" x14ac:dyDescent="0.25">
      <c r="A1148" s="2" t="s">
        <v>51</v>
      </c>
      <c r="B1148" s="2" t="s">
        <v>12404</v>
      </c>
      <c r="C1148" s="2" t="s">
        <v>12405</v>
      </c>
      <c r="D1148" s="2" t="s">
        <v>12403</v>
      </c>
      <c r="E1148" s="2" t="s">
        <v>54</v>
      </c>
      <c r="F1148" s="3">
        <v>42571</v>
      </c>
      <c r="G1148" s="2" t="str">
        <f>"9780804799348"</f>
        <v>9780804799348</v>
      </c>
      <c r="H1148" s="2" t="s">
        <v>14</v>
      </c>
      <c r="I1148" s="4">
        <v>42810.534722222219</v>
      </c>
      <c r="J1148" s="2" t="s">
        <v>12406</v>
      </c>
    </row>
    <row r="1149" spans="1:10" ht="135" x14ac:dyDescent="0.25">
      <c r="A1149" s="2" t="s">
        <v>51</v>
      </c>
      <c r="B1149" s="2">
        <v>933.47</v>
      </c>
      <c r="C1149" s="2" t="s">
        <v>7401</v>
      </c>
      <c r="D1149" s="2" t="s">
        <v>7400</v>
      </c>
      <c r="E1149" s="2" t="s">
        <v>2089</v>
      </c>
      <c r="F1149" s="3">
        <v>42723</v>
      </c>
      <c r="G1149" s="2" t="str">
        <f>"9781575064871"</f>
        <v>9781575064871</v>
      </c>
      <c r="H1149" s="2" t="s">
        <v>14</v>
      </c>
      <c r="I1149" s="4">
        <v>43418.752083333333</v>
      </c>
      <c r="J1149" s="2" t="s">
        <v>7402</v>
      </c>
    </row>
    <row r="1150" spans="1:10" ht="150" x14ac:dyDescent="0.25">
      <c r="A1150" s="2" t="s">
        <v>51</v>
      </c>
      <c r="B1150" s="2">
        <v>987.03</v>
      </c>
      <c r="C1150" s="2" t="s">
        <v>3228</v>
      </c>
      <c r="D1150" s="2" t="s">
        <v>3227</v>
      </c>
      <c r="E1150" s="2" t="s">
        <v>2508</v>
      </c>
      <c r="F1150" s="3">
        <v>43451</v>
      </c>
      <c r="G1150" s="2" t="str">
        <f>"9781469636948"</f>
        <v>9781469636948</v>
      </c>
      <c r="H1150" s="2" t="s">
        <v>14</v>
      </c>
      <c r="I1150" s="4">
        <v>43797.509027777778</v>
      </c>
      <c r="J1150" s="2" t="s">
        <v>3229</v>
      </c>
    </row>
    <row r="1151" spans="1:10" ht="135" x14ac:dyDescent="0.25">
      <c r="A1151" s="2" t="s">
        <v>51</v>
      </c>
      <c r="B1151" s="2" t="s">
        <v>6038</v>
      </c>
      <c r="C1151" s="2" t="s">
        <v>6039</v>
      </c>
      <c r="D1151" s="2" t="s">
        <v>6037</v>
      </c>
      <c r="E1151" s="2" t="s">
        <v>54</v>
      </c>
      <c r="F1151" s="3">
        <v>42284</v>
      </c>
      <c r="G1151" s="2" t="str">
        <f>"9780804797221"</f>
        <v>9780804797221</v>
      </c>
      <c r="H1151" s="2" t="s">
        <v>14</v>
      </c>
      <c r="I1151" s="4">
        <v>43546.257638888892</v>
      </c>
      <c r="J1151" s="2" t="s">
        <v>6040</v>
      </c>
    </row>
    <row r="1152" spans="1:10" ht="135" x14ac:dyDescent="0.25">
      <c r="A1152" s="2" t="s">
        <v>51</v>
      </c>
      <c r="B1152" s="2">
        <v>972.90200000000004</v>
      </c>
      <c r="C1152" s="2" t="s">
        <v>4607</v>
      </c>
      <c r="D1152" s="2" t="s">
        <v>4606</v>
      </c>
      <c r="E1152" s="2" t="s">
        <v>46</v>
      </c>
      <c r="F1152" s="3">
        <v>43617</v>
      </c>
      <c r="G1152" s="2" t="str">
        <f>"9781496214379"</f>
        <v>9781496214379</v>
      </c>
      <c r="H1152" s="2" t="s">
        <v>14</v>
      </c>
      <c r="I1152" s="4">
        <v>43644.75277777778</v>
      </c>
      <c r="J1152" s="2" t="s">
        <v>4608</v>
      </c>
    </row>
    <row r="1153" spans="1:10" ht="135" x14ac:dyDescent="0.25">
      <c r="A1153" s="2" t="s">
        <v>51</v>
      </c>
      <c r="B1153" s="2" t="s">
        <v>8460</v>
      </c>
      <c r="C1153" s="2" t="s">
        <v>8461</v>
      </c>
      <c r="D1153" s="2" t="s">
        <v>8459</v>
      </c>
      <c r="E1153" s="2" t="s">
        <v>69</v>
      </c>
      <c r="F1153" s="3">
        <v>42625</v>
      </c>
      <c r="G1153" s="2" t="str">
        <f>"9780253022622"</f>
        <v>9780253022622</v>
      </c>
      <c r="H1153" s="2" t="s">
        <v>14</v>
      </c>
      <c r="I1153" s="4">
        <v>43304.379861111112</v>
      </c>
      <c r="J1153" s="2" t="s">
        <v>8462</v>
      </c>
    </row>
    <row r="1154" spans="1:10" ht="225" x14ac:dyDescent="0.25">
      <c r="A1154" s="2" t="s">
        <v>51</v>
      </c>
      <c r="B1154" s="2">
        <v>967.62040000000002</v>
      </c>
      <c r="C1154" s="2" t="s">
        <v>213</v>
      </c>
      <c r="D1154" s="2" t="s">
        <v>211</v>
      </c>
      <c r="E1154" s="2" t="s">
        <v>212</v>
      </c>
      <c r="F1154" s="3">
        <v>43641</v>
      </c>
      <c r="G1154" s="2" t="str">
        <f>"9789956550234"</f>
        <v>9789956550234</v>
      </c>
      <c r="H1154" s="2" t="s">
        <v>14</v>
      </c>
      <c r="I1154" s="4">
        <v>44056.418749999997</v>
      </c>
      <c r="J1154" s="2" t="s">
        <v>214</v>
      </c>
    </row>
    <row r="1155" spans="1:10" ht="180" x14ac:dyDescent="0.25">
      <c r="A1155" s="2" t="s">
        <v>51</v>
      </c>
      <c r="B1155" s="2" t="s">
        <v>5405</v>
      </c>
      <c r="C1155" s="2" t="s">
        <v>5406</v>
      </c>
      <c r="D1155" s="2" t="s">
        <v>5404</v>
      </c>
      <c r="E1155" s="2" t="s">
        <v>156</v>
      </c>
      <c r="F1155" s="3">
        <v>42078</v>
      </c>
      <c r="G1155" s="2" t="str">
        <f>"9781469623160"</f>
        <v>9781469623160</v>
      </c>
      <c r="H1155" s="2" t="s">
        <v>14</v>
      </c>
      <c r="I1155" s="4">
        <v>43600.645833333336</v>
      </c>
      <c r="J1155" s="2" t="s">
        <v>5407</v>
      </c>
    </row>
    <row r="1156" spans="1:10" ht="135" x14ac:dyDescent="0.25">
      <c r="A1156" s="2" t="s">
        <v>51</v>
      </c>
      <c r="B1156" s="2">
        <v>946.8</v>
      </c>
      <c r="C1156" s="2" t="s">
        <v>4717</v>
      </c>
      <c r="D1156" s="2" t="s">
        <v>4716</v>
      </c>
      <c r="E1156" s="2" t="s">
        <v>101</v>
      </c>
      <c r="F1156" s="3">
        <v>43296</v>
      </c>
      <c r="G1156" s="2" t="str">
        <f>"9780810137318"</f>
        <v>9780810137318</v>
      </c>
      <c r="H1156" s="2" t="s">
        <v>14</v>
      </c>
      <c r="I1156" s="4">
        <v>43634.981944444444</v>
      </c>
      <c r="J1156" s="2" t="s">
        <v>4718</v>
      </c>
    </row>
    <row r="1157" spans="1:10" ht="135" x14ac:dyDescent="0.25">
      <c r="A1157" s="2" t="s">
        <v>51</v>
      </c>
      <c r="B1157" s="2" t="s">
        <v>9251</v>
      </c>
      <c r="C1157" s="2" t="s">
        <v>9252</v>
      </c>
      <c r="D1157" s="2" t="s">
        <v>9250</v>
      </c>
      <c r="E1157" s="2" t="s">
        <v>235</v>
      </c>
      <c r="F1157" s="3">
        <v>41746</v>
      </c>
      <c r="G1157" s="2" t="str">
        <f>"9780313398988"</f>
        <v>9780313398988</v>
      </c>
      <c r="H1157" s="2" t="s">
        <v>14</v>
      </c>
      <c r="I1157" s="4">
        <v>43194.772916666669</v>
      </c>
      <c r="J1157" s="2" t="s">
        <v>9253</v>
      </c>
    </row>
    <row r="1158" spans="1:10" ht="135" x14ac:dyDescent="0.25">
      <c r="A1158" s="2" t="s">
        <v>51</v>
      </c>
      <c r="B1158" s="2">
        <v>959.70429999999999</v>
      </c>
      <c r="C1158" s="2" t="s">
        <v>10867</v>
      </c>
      <c r="D1158" s="2" t="s">
        <v>10866</v>
      </c>
      <c r="E1158" s="2" t="s">
        <v>4660</v>
      </c>
      <c r="F1158" s="3">
        <v>41827</v>
      </c>
      <c r="G1158" s="2" t="str">
        <f>"9780813164717"</f>
        <v>9780813164717</v>
      </c>
      <c r="H1158" s="2" t="s">
        <v>14</v>
      </c>
      <c r="I1158" s="4">
        <v>43031.540972222225</v>
      </c>
      <c r="J1158" s="2" t="s">
        <v>10868</v>
      </c>
    </row>
    <row r="1159" spans="1:10" ht="135" x14ac:dyDescent="0.25">
      <c r="A1159" s="2" t="s">
        <v>51</v>
      </c>
      <c r="B1159" s="2">
        <v>951.03409199999999</v>
      </c>
      <c r="C1159" s="2" t="s">
        <v>5928</v>
      </c>
      <c r="D1159" s="2" t="s">
        <v>5927</v>
      </c>
      <c r="E1159" s="2" t="s">
        <v>856</v>
      </c>
      <c r="F1159" s="3">
        <v>41612</v>
      </c>
      <c r="G1159" s="2" t="str">
        <f>"9780295804910"</f>
        <v>9780295804910</v>
      </c>
      <c r="H1159" s="2" t="s">
        <v>14</v>
      </c>
      <c r="I1159" s="4">
        <v>43557.588888888888</v>
      </c>
      <c r="J1159" s="2" t="s">
        <v>5929</v>
      </c>
    </row>
    <row r="1160" spans="1:10" ht="135" x14ac:dyDescent="0.25">
      <c r="A1160" s="2" t="s">
        <v>51</v>
      </c>
      <c r="B1160" s="2" t="s">
        <v>8316</v>
      </c>
      <c r="C1160" s="2" t="s">
        <v>8317</v>
      </c>
      <c r="D1160" s="2" t="s">
        <v>8315</v>
      </c>
      <c r="E1160" s="2" t="s">
        <v>216</v>
      </c>
      <c r="F1160" s="3">
        <v>41791</v>
      </c>
      <c r="G1160" s="2" t="str">
        <f>"9781438450995"</f>
        <v>9781438450995</v>
      </c>
      <c r="H1160" s="2" t="s">
        <v>14</v>
      </c>
      <c r="I1160" s="4">
        <v>43322.49722222222</v>
      </c>
      <c r="J1160" s="2" t="s">
        <v>8318</v>
      </c>
    </row>
    <row r="1161" spans="1:10" ht="135" x14ac:dyDescent="0.25">
      <c r="A1161" s="2" t="s">
        <v>51</v>
      </c>
      <c r="B1161" s="2">
        <v>938</v>
      </c>
      <c r="C1161" s="2" t="s">
        <v>12019</v>
      </c>
      <c r="D1161" s="2" t="s">
        <v>12018</v>
      </c>
      <c r="E1161" s="2" t="s">
        <v>11785</v>
      </c>
      <c r="F1161" s="3">
        <v>42800</v>
      </c>
      <c r="G1161" s="2" t="str">
        <f>"9780472122530"</f>
        <v>9780472122530</v>
      </c>
      <c r="H1161" s="2" t="s">
        <v>14</v>
      </c>
      <c r="I1161" s="4">
        <v>42862.601388888892</v>
      </c>
      <c r="J1161" s="2" t="s">
        <v>12020</v>
      </c>
    </row>
    <row r="1162" spans="1:10" ht="180" x14ac:dyDescent="0.25">
      <c r="A1162" s="2" t="s">
        <v>51</v>
      </c>
      <c r="B1162" s="2">
        <v>947.08600000000001</v>
      </c>
      <c r="C1162" s="2" t="s">
        <v>8662</v>
      </c>
      <c r="D1162" s="2" t="s">
        <v>8661</v>
      </c>
      <c r="E1162" s="2" t="s">
        <v>627</v>
      </c>
      <c r="F1162" s="3">
        <v>42358</v>
      </c>
      <c r="G1162" s="2" t="str">
        <f>"9789633861103"</f>
        <v>9789633861103</v>
      </c>
      <c r="H1162" s="2" t="s">
        <v>14</v>
      </c>
      <c r="I1162" s="4">
        <v>43273.70416666667</v>
      </c>
      <c r="J1162" s="2" t="s">
        <v>8663</v>
      </c>
    </row>
    <row r="1163" spans="1:10" ht="150" x14ac:dyDescent="0.25">
      <c r="A1163" s="2" t="s">
        <v>51</v>
      </c>
      <c r="B1163" s="2">
        <v>987.03</v>
      </c>
      <c r="C1163" s="2" t="s">
        <v>3823</v>
      </c>
      <c r="D1163" s="2" t="s">
        <v>3822</v>
      </c>
      <c r="E1163" s="2" t="s">
        <v>164</v>
      </c>
      <c r="F1163" s="3">
        <v>43435</v>
      </c>
      <c r="G1163" s="2" t="str">
        <f>"9780826359872"</f>
        <v>9780826359872</v>
      </c>
      <c r="H1163" s="2" t="s">
        <v>14</v>
      </c>
      <c r="I1163" s="4">
        <v>43752.477083333331</v>
      </c>
      <c r="J1163" s="2" t="s">
        <v>3824</v>
      </c>
    </row>
    <row r="1164" spans="1:10" ht="135" x14ac:dyDescent="0.25">
      <c r="A1164" s="2" t="s">
        <v>51</v>
      </c>
      <c r="B1164" s="2">
        <v>944.07202400000006</v>
      </c>
      <c r="C1164" s="2" t="s">
        <v>11446</v>
      </c>
      <c r="D1164" s="2" t="s">
        <v>11445</v>
      </c>
      <c r="E1164" s="2" t="s">
        <v>1719</v>
      </c>
      <c r="F1164" s="3">
        <v>41730</v>
      </c>
      <c r="G1164" s="2" t="str">
        <f>"9780761863151"</f>
        <v>9780761863151</v>
      </c>
      <c r="H1164" s="2" t="s">
        <v>14</v>
      </c>
      <c r="I1164" s="4">
        <v>42968.552777777775</v>
      </c>
      <c r="J1164" s="2" t="s">
        <v>11447</v>
      </c>
    </row>
    <row r="1165" spans="1:10" ht="135" x14ac:dyDescent="0.25">
      <c r="A1165" s="2" t="s">
        <v>51</v>
      </c>
      <c r="B1165" s="2">
        <v>951</v>
      </c>
      <c r="C1165" s="2" t="s">
        <v>12169</v>
      </c>
      <c r="D1165" s="2" t="s">
        <v>12168</v>
      </c>
      <c r="E1165" s="2" t="s">
        <v>221</v>
      </c>
      <c r="F1165" s="3">
        <v>42593</v>
      </c>
      <c r="G1165" s="2" t="str">
        <f>"9789888313396"</f>
        <v>9789888313396</v>
      </c>
      <c r="H1165" s="2" t="s">
        <v>14</v>
      </c>
      <c r="I1165" s="4">
        <v>42840.512499999997</v>
      </c>
      <c r="J1165" s="2" t="s">
        <v>12170</v>
      </c>
    </row>
    <row r="1166" spans="1:10" ht="135" x14ac:dyDescent="0.25">
      <c r="A1166" s="2" t="s">
        <v>51</v>
      </c>
      <c r="B1166" s="2">
        <v>972.93</v>
      </c>
      <c r="C1166" s="2" t="s">
        <v>1607</v>
      </c>
      <c r="D1166" s="2" t="s">
        <v>1606</v>
      </c>
      <c r="E1166" s="2" t="s">
        <v>130</v>
      </c>
      <c r="F1166" s="3">
        <v>43291</v>
      </c>
      <c r="G1166" s="2" t="str">
        <f>"9781683400486"</f>
        <v>9781683400486</v>
      </c>
      <c r="H1166" s="2" t="s">
        <v>14</v>
      </c>
      <c r="I1166" s="4">
        <v>43935.493750000001</v>
      </c>
      <c r="J1166" s="2" t="s">
        <v>1608</v>
      </c>
    </row>
    <row r="1167" spans="1:10" ht="135" x14ac:dyDescent="0.25">
      <c r="A1167" s="2" t="s">
        <v>51</v>
      </c>
      <c r="C1167" s="2" t="s">
        <v>336</v>
      </c>
      <c r="D1167" s="2" t="s">
        <v>335</v>
      </c>
      <c r="E1167" s="2" t="s">
        <v>260</v>
      </c>
      <c r="F1167" s="3">
        <v>43994</v>
      </c>
      <c r="G1167" s="2" t="str">
        <f>"9781439918203"</f>
        <v>9781439918203</v>
      </c>
      <c r="H1167" s="2" t="s">
        <v>14</v>
      </c>
      <c r="I1167" s="4">
        <v>44038.445138888892</v>
      </c>
      <c r="J1167" s="2" t="s">
        <v>337</v>
      </c>
    </row>
    <row r="1168" spans="1:10" ht="165" x14ac:dyDescent="0.25">
      <c r="A1168" s="2" t="s">
        <v>51</v>
      </c>
      <c r="B1168" s="2" t="s">
        <v>6432</v>
      </c>
      <c r="C1168" s="2" t="s">
        <v>6433</v>
      </c>
      <c r="D1168" s="2" t="s">
        <v>6431</v>
      </c>
      <c r="E1168" s="2" t="s">
        <v>41</v>
      </c>
      <c r="F1168" s="3">
        <v>43368</v>
      </c>
      <c r="G1168" s="2" t="str">
        <f>"9780817391812"</f>
        <v>9780817391812</v>
      </c>
      <c r="H1168" s="2" t="s">
        <v>14</v>
      </c>
      <c r="I1168" s="4">
        <v>43518.350694444445</v>
      </c>
      <c r="J1168" s="2" t="s">
        <v>6434</v>
      </c>
    </row>
    <row r="1169" spans="1:10" ht="135" x14ac:dyDescent="0.25">
      <c r="A1169" s="2" t="s">
        <v>51</v>
      </c>
      <c r="B1169" s="2">
        <v>961.10500000000002</v>
      </c>
      <c r="C1169" s="2" t="s">
        <v>9789</v>
      </c>
      <c r="D1169" s="2" t="s">
        <v>9788</v>
      </c>
      <c r="E1169" s="2" t="s">
        <v>499</v>
      </c>
      <c r="F1169" s="3">
        <v>41946</v>
      </c>
      <c r="G1169" s="2" t="str">
        <f>"9781626162136"</f>
        <v>9781626162136</v>
      </c>
      <c r="H1169" s="2" t="s">
        <v>14</v>
      </c>
      <c r="I1169" s="4">
        <v>43130.606249999997</v>
      </c>
      <c r="J1169" s="2" t="s">
        <v>9790</v>
      </c>
    </row>
    <row r="1170" spans="1:10" ht="135" x14ac:dyDescent="0.25">
      <c r="A1170" s="2" t="s">
        <v>51</v>
      </c>
      <c r="B1170" s="2">
        <v>943.90539999999896</v>
      </c>
      <c r="C1170" s="2" t="s">
        <v>10178</v>
      </c>
      <c r="D1170" s="2" t="s">
        <v>10177</v>
      </c>
      <c r="E1170" s="2" t="s">
        <v>627</v>
      </c>
      <c r="F1170" s="3">
        <v>42767</v>
      </c>
      <c r="G1170" s="2" t="str">
        <f>"9786155513619"</f>
        <v>9786155513619</v>
      </c>
      <c r="H1170" s="2" t="s">
        <v>14</v>
      </c>
      <c r="I1170" s="4">
        <v>43087.884027777778</v>
      </c>
      <c r="J1170" s="2" t="s">
        <v>10179</v>
      </c>
    </row>
    <row r="1171" spans="1:10" ht="165" x14ac:dyDescent="0.25">
      <c r="A1171" s="2" t="s">
        <v>51</v>
      </c>
      <c r="B1171" s="2" t="s">
        <v>5699</v>
      </c>
      <c r="C1171" s="2" t="s">
        <v>5700</v>
      </c>
      <c r="D1171" s="2" t="s">
        <v>5698</v>
      </c>
      <c r="E1171" s="2" t="s">
        <v>28</v>
      </c>
      <c r="F1171" s="3">
        <v>43522</v>
      </c>
      <c r="G1171" s="2" t="str">
        <f>"9780813942391"</f>
        <v>9780813942391</v>
      </c>
      <c r="H1171" s="2" t="s">
        <v>14</v>
      </c>
      <c r="I1171" s="4">
        <v>43579.695138888892</v>
      </c>
      <c r="J1171" s="2" t="s">
        <v>5701</v>
      </c>
    </row>
    <row r="1172" spans="1:10" ht="240" x14ac:dyDescent="0.25">
      <c r="A1172" s="2" t="s">
        <v>51</v>
      </c>
      <c r="B1172" s="2">
        <v>944.36108130000002</v>
      </c>
      <c r="C1172" s="2" t="s">
        <v>10838</v>
      </c>
      <c r="D1172" s="2" t="s">
        <v>10837</v>
      </c>
      <c r="E1172" s="2" t="s">
        <v>1869</v>
      </c>
      <c r="F1172" s="3">
        <v>41714</v>
      </c>
      <c r="G1172" s="2" t="str">
        <f>"9781442221642"</f>
        <v>9781442221642</v>
      </c>
      <c r="H1172" s="2" t="s">
        <v>14</v>
      </c>
      <c r="I1172" s="4">
        <v>43032.625</v>
      </c>
      <c r="J1172" s="2" t="s">
        <v>10839</v>
      </c>
    </row>
    <row r="1173" spans="1:10" ht="135" x14ac:dyDescent="0.25">
      <c r="A1173" s="2" t="s">
        <v>51</v>
      </c>
      <c r="B1173" s="2">
        <v>947.7</v>
      </c>
      <c r="C1173" s="2" t="s">
        <v>5900</v>
      </c>
      <c r="D1173" s="2" t="s">
        <v>5899</v>
      </c>
      <c r="E1173" s="2" t="s">
        <v>846</v>
      </c>
      <c r="F1173" s="3">
        <v>43081</v>
      </c>
      <c r="G1173" s="2" t="str">
        <f>"9781487512507"</f>
        <v>9781487512507</v>
      </c>
      <c r="H1173" s="2" t="s">
        <v>14</v>
      </c>
      <c r="I1173" s="4">
        <v>43560.565972222219</v>
      </c>
      <c r="J1173" s="2" t="s">
        <v>5901</v>
      </c>
    </row>
    <row r="1174" spans="1:10" ht="135" x14ac:dyDescent="0.25">
      <c r="A1174" s="2" t="s">
        <v>51</v>
      </c>
      <c r="B1174" s="2">
        <v>946.08100000000002</v>
      </c>
      <c r="C1174" s="2" t="s">
        <v>8133</v>
      </c>
      <c r="D1174" s="2" t="s">
        <v>8132</v>
      </c>
      <c r="E1174" s="2" t="s">
        <v>130</v>
      </c>
      <c r="F1174" s="3">
        <v>41723</v>
      </c>
      <c r="G1174" s="2" t="str">
        <f>"9780813048932"</f>
        <v>9780813048932</v>
      </c>
      <c r="H1174" s="2" t="s">
        <v>14</v>
      </c>
      <c r="I1174" s="4">
        <v>43348.689583333333</v>
      </c>
      <c r="J1174" s="2" t="s">
        <v>8134</v>
      </c>
    </row>
    <row r="1175" spans="1:10" ht="135" x14ac:dyDescent="0.25">
      <c r="A1175" s="2" t="s">
        <v>51</v>
      </c>
      <c r="B1175" s="2">
        <v>951.30039999999894</v>
      </c>
      <c r="C1175" s="2" t="s">
        <v>12823</v>
      </c>
      <c r="D1175" s="2" t="s">
        <v>12822</v>
      </c>
      <c r="E1175" s="2" t="s">
        <v>221</v>
      </c>
      <c r="F1175" s="3">
        <v>42591</v>
      </c>
      <c r="G1175" s="2" t="str">
        <f>"9789888390052"</f>
        <v>9789888390052</v>
      </c>
      <c r="H1175" s="2" t="s">
        <v>14</v>
      </c>
      <c r="I1175" s="4">
        <v>42771.663888888892</v>
      </c>
      <c r="J1175" s="2" t="s">
        <v>12824</v>
      </c>
    </row>
    <row r="1176" spans="1:10" ht="135" x14ac:dyDescent="0.25">
      <c r="A1176" s="2" t="s">
        <v>51</v>
      </c>
      <c r="B1176" s="2" t="s">
        <v>2736</v>
      </c>
      <c r="C1176" s="2" t="s">
        <v>2737</v>
      </c>
      <c r="D1176" s="2" t="s">
        <v>2735</v>
      </c>
      <c r="E1176" s="2" t="s">
        <v>526</v>
      </c>
      <c r="F1176" s="3">
        <v>43472</v>
      </c>
      <c r="G1176" s="2" t="str">
        <f>"9781477317235"</f>
        <v>9781477317235</v>
      </c>
      <c r="H1176" s="2" t="s">
        <v>14</v>
      </c>
      <c r="I1176" s="4">
        <v>43860.881249999999</v>
      </c>
      <c r="J1176" s="2" t="s">
        <v>2738</v>
      </c>
    </row>
    <row r="1177" spans="1:10" ht="135" x14ac:dyDescent="0.25">
      <c r="A1177" s="2" t="s">
        <v>51</v>
      </c>
      <c r="B1177" s="2" t="s">
        <v>10295</v>
      </c>
      <c r="C1177" s="2" t="s">
        <v>10296</v>
      </c>
      <c r="D1177" s="2" t="s">
        <v>10294</v>
      </c>
      <c r="E1177" s="2" t="s">
        <v>856</v>
      </c>
      <c r="F1177" s="3">
        <v>42217</v>
      </c>
      <c r="G1177" s="2" t="str">
        <f>"9780295806105"</f>
        <v>9780295806105</v>
      </c>
      <c r="H1177" s="2" t="s">
        <v>14</v>
      </c>
      <c r="I1177" s="4">
        <v>43073.524305555555</v>
      </c>
      <c r="J1177" s="2" t="s">
        <v>10297</v>
      </c>
    </row>
    <row r="1178" spans="1:10" ht="135" x14ac:dyDescent="0.25">
      <c r="A1178" s="2" t="s">
        <v>51</v>
      </c>
      <c r="B1178" s="2" t="s">
        <v>12636</v>
      </c>
      <c r="C1178" s="2" t="s">
        <v>12637</v>
      </c>
      <c r="D1178" s="2" t="s">
        <v>12635</v>
      </c>
      <c r="E1178" s="2" t="s">
        <v>11785</v>
      </c>
      <c r="F1178" s="3">
        <v>41893</v>
      </c>
      <c r="G1178" s="2" t="str">
        <f>"9780472120383"</f>
        <v>9780472120383</v>
      </c>
      <c r="H1178" s="2" t="s">
        <v>14</v>
      </c>
      <c r="I1178" s="4">
        <v>42787.740277777775</v>
      </c>
      <c r="J1178" s="2" t="s">
        <v>12638</v>
      </c>
    </row>
    <row r="1179" spans="1:10" ht="135" x14ac:dyDescent="0.25">
      <c r="A1179" s="2" t="s">
        <v>51</v>
      </c>
      <c r="B1179" s="2">
        <v>994.6</v>
      </c>
      <c r="C1179" s="2" t="s">
        <v>2505</v>
      </c>
      <c r="D1179" s="2" t="s">
        <v>2503</v>
      </c>
      <c r="E1179" s="2" t="s">
        <v>2504</v>
      </c>
      <c r="F1179" s="3">
        <v>42064</v>
      </c>
      <c r="G1179" s="2" t="str">
        <f>"9781742247151"</f>
        <v>9781742247151</v>
      </c>
      <c r="H1179" s="2" t="s">
        <v>14</v>
      </c>
      <c r="I1179" s="4">
        <v>43880.544444444444</v>
      </c>
      <c r="J1179" s="2" t="s">
        <v>2506</v>
      </c>
    </row>
    <row r="1180" spans="1:10" ht="135" x14ac:dyDescent="0.25">
      <c r="A1180" s="2" t="s">
        <v>51</v>
      </c>
      <c r="B1180" s="2" t="s">
        <v>10729</v>
      </c>
      <c r="C1180" s="2" t="s">
        <v>10730</v>
      </c>
      <c r="D1180" s="2" t="s">
        <v>10728</v>
      </c>
      <c r="E1180" s="2" t="s">
        <v>256</v>
      </c>
      <c r="F1180" s="3">
        <v>42485</v>
      </c>
      <c r="G1180" s="2" t="str">
        <f>"9780821445624"</f>
        <v>9780821445624</v>
      </c>
      <c r="H1180" s="2" t="s">
        <v>14</v>
      </c>
      <c r="I1180" s="4">
        <v>43039.427777777775</v>
      </c>
      <c r="J1180" s="2" t="s">
        <v>10731</v>
      </c>
    </row>
    <row r="1181" spans="1:10" ht="135" x14ac:dyDescent="0.25">
      <c r="A1181" s="2" t="s">
        <v>51</v>
      </c>
      <c r="B1181" s="2">
        <v>940.53180943999996</v>
      </c>
      <c r="C1181" s="2" t="s">
        <v>4151</v>
      </c>
      <c r="D1181" s="2" t="s">
        <v>4150</v>
      </c>
      <c r="E1181" s="2" t="s">
        <v>54</v>
      </c>
      <c r="F1181" s="3">
        <v>43725</v>
      </c>
      <c r="G1181" s="2" t="str">
        <f>"9781503609822"</f>
        <v>9781503609822</v>
      </c>
      <c r="H1181" s="2" t="s">
        <v>14</v>
      </c>
      <c r="I1181" s="4">
        <v>43705.575694444444</v>
      </c>
      <c r="J1181" s="2" t="s">
        <v>4152</v>
      </c>
    </row>
    <row r="1182" spans="1:10" ht="135" x14ac:dyDescent="0.25">
      <c r="A1182" s="2" t="s">
        <v>51</v>
      </c>
      <c r="B1182" s="2">
        <v>941.00720239999896</v>
      </c>
      <c r="C1182" s="2" t="s">
        <v>6408</v>
      </c>
      <c r="D1182" s="2" t="s">
        <v>6407</v>
      </c>
      <c r="E1182" s="2" t="s">
        <v>846</v>
      </c>
      <c r="F1182" s="3">
        <v>43014</v>
      </c>
      <c r="G1182" s="2" t="str">
        <f>"9781442663589"</f>
        <v>9781442663589</v>
      </c>
      <c r="H1182" s="2" t="s">
        <v>14</v>
      </c>
      <c r="I1182" s="4">
        <v>43519.759722222225</v>
      </c>
      <c r="J1182" s="2" t="s">
        <v>6409</v>
      </c>
    </row>
    <row r="1183" spans="1:10" ht="135" x14ac:dyDescent="0.25">
      <c r="A1183" s="2" t="s">
        <v>51</v>
      </c>
      <c r="B1183" s="2" t="s">
        <v>277</v>
      </c>
      <c r="C1183" s="2" t="s">
        <v>278</v>
      </c>
      <c r="D1183" s="2" t="s">
        <v>276</v>
      </c>
      <c r="E1183" s="2" t="s">
        <v>58</v>
      </c>
      <c r="F1183" s="3">
        <v>43872</v>
      </c>
      <c r="G1183" s="2" t="str">
        <f>"9780299322731"</f>
        <v>9780299322731</v>
      </c>
      <c r="H1183" s="2" t="s">
        <v>14</v>
      </c>
      <c r="I1183" s="4">
        <v>44048.459722222222</v>
      </c>
      <c r="J1183" s="2" t="s">
        <v>279</v>
      </c>
    </row>
    <row r="1184" spans="1:10" ht="135" x14ac:dyDescent="0.25">
      <c r="A1184" s="2" t="s">
        <v>51</v>
      </c>
      <c r="B1184" s="2" t="s">
        <v>8651</v>
      </c>
      <c r="C1184" s="2" t="s">
        <v>8652</v>
      </c>
      <c r="D1184" s="2" t="s">
        <v>8650</v>
      </c>
      <c r="E1184" s="2" t="s">
        <v>65</v>
      </c>
      <c r="F1184" s="3">
        <v>42779</v>
      </c>
      <c r="G1184" s="2" t="str">
        <f>"9780806158211"</f>
        <v>9780806158211</v>
      </c>
      <c r="H1184" s="2" t="s">
        <v>14</v>
      </c>
      <c r="I1184" s="4">
        <v>43276.515277777777</v>
      </c>
      <c r="J1184" s="2" t="s">
        <v>8653</v>
      </c>
    </row>
    <row r="1185" spans="1:10" ht="135" x14ac:dyDescent="0.25">
      <c r="A1185" s="2" t="s">
        <v>51</v>
      </c>
      <c r="C1185" s="2" t="s">
        <v>1641</v>
      </c>
      <c r="D1185" s="2" t="s">
        <v>1640</v>
      </c>
      <c r="E1185" s="2" t="s">
        <v>41</v>
      </c>
      <c r="F1185" s="3">
        <v>43837</v>
      </c>
      <c r="G1185" s="2" t="str">
        <f>"9780817392741"</f>
        <v>9780817392741</v>
      </c>
      <c r="H1185" s="2" t="s">
        <v>14</v>
      </c>
      <c r="I1185" s="4">
        <v>43934.683333333334</v>
      </c>
      <c r="J1185" s="2" t="s">
        <v>1642</v>
      </c>
    </row>
    <row r="1186" spans="1:10" ht="165" x14ac:dyDescent="0.25">
      <c r="A1186" s="2" t="s">
        <v>51</v>
      </c>
      <c r="B1186" s="2">
        <v>949.60400000000004</v>
      </c>
      <c r="C1186" s="2" t="s">
        <v>9712</v>
      </c>
      <c r="D1186" s="2" t="s">
        <v>9711</v>
      </c>
      <c r="E1186" s="2" t="s">
        <v>235</v>
      </c>
      <c r="F1186" s="3">
        <v>41921</v>
      </c>
      <c r="G1186" s="2" t="str">
        <f>"9781610690317"</f>
        <v>9781610690317</v>
      </c>
      <c r="H1186" s="2" t="s">
        <v>14</v>
      </c>
      <c r="I1186" s="4">
        <v>43135.511111111111</v>
      </c>
      <c r="J1186" s="2" t="s">
        <v>9713</v>
      </c>
    </row>
    <row r="1187" spans="1:10" ht="135" x14ac:dyDescent="0.25">
      <c r="A1187" s="2" t="s">
        <v>51</v>
      </c>
      <c r="B1187" s="2">
        <v>972.81010000000003</v>
      </c>
      <c r="C1187" s="2" t="s">
        <v>3432</v>
      </c>
      <c r="D1187" s="2" t="s">
        <v>3431</v>
      </c>
      <c r="E1187" s="2" t="s">
        <v>65</v>
      </c>
      <c r="F1187" s="3">
        <v>43608</v>
      </c>
      <c r="G1187" s="2" t="str">
        <f>"9780806164236"</f>
        <v>9780806164236</v>
      </c>
      <c r="H1187" s="2" t="s">
        <v>14</v>
      </c>
      <c r="I1187" s="4">
        <v>43782.851388888892</v>
      </c>
      <c r="J1187" s="2" t="s">
        <v>3433</v>
      </c>
    </row>
    <row r="1188" spans="1:10" ht="135" x14ac:dyDescent="0.25">
      <c r="A1188" s="2" t="s">
        <v>51</v>
      </c>
      <c r="B1188" s="2" t="s">
        <v>5719</v>
      </c>
      <c r="C1188" s="2" t="s">
        <v>5720</v>
      </c>
      <c r="D1188" s="2" t="s">
        <v>5718</v>
      </c>
      <c r="E1188" s="2" t="s">
        <v>130</v>
      </c>
      <c r="F1188" s="3">
        <v>42507</v>
      </c>
      <c r="G1188" s="2" t="str">
        <f>"9780813055961"</f>
        <v>9780813055961</v>
      </c>
      <c r="H1188" s="2" t="s">
        <v>14</v>
      </c>
      <c r="I1188" s="4">
        <v>43578.438888888886</v>
      </c>
      <c r="J1188" s="2" t="s">
        <v>5721</v>
      </c>
    </row>
    <row r="1189" spans="1:10" ht="165" x14ac:dyDescent="0.25">
      <c r="A1189" s="2" t="s">
        <v>51</v>
      </c>
      <c r="B1189" s="2">
        <v>972.9</v>
      </c>
      <c r="C1189" s="2" t="s">
        <v>5365</v>
      </c>
      <c r="D1189" s="2" t="s">
        <v>5363</v>
      </c>
      <c r="E1189" s="2" t="s">
        <v>5364</v>
      </c>
      <c r="F1189" s="3">
        <v>42719</v>
      </c>
      <c r="G1189" s="2" t="str">
        <f>"9781421421292"</f>
        <v>9781421421292</v>
      </c>
      <c r="H1189" s="2" t="s">
        <v>14</v>
      </c>
      <c r="I1189" s="4">
        <v>43604.045138888891</v>
      </c>
      <c r="J1189" s="2" t="s">
        <v>5366</v>
      </c>
    </row>
    <row r="1190" spans="1:10" ht="150" x14ac:dyDescent="0.25">
      <c r="A1190" s="2" t="s">
        <v>51</v>
      </c>
      <c r="B1190" s="2">
        <v>959.90202220000003</v>
      </c>
      <c r="C1190" s="2" t="s">
        <v>4926</v>
      </c>
      <c r="D1190" s="2" t="s">
        <v>4924</v>
      </c>
      <c r="E1190" s="2" t="s">
        <v>4925</v>
      </c>
      <c r="F1190" s="3">
        <v>42871</v>
      </c>
      <c r="G1190" s="2" t="str">
        <f>"9789715507967"</f>
        <v>9789715507967</v>
      </c>
      <c r="H1190" s="2" t="s">
        <v>14</v>
      </c>
      <c r="I1190" s="4">
        <v>43617.04791666667</v>
      </c>
      <c r="J1190" s="2" t="s">
        <v>4927</v>
      </c>
    </row>
    <row r="1191" spans="1:10" ht="135" x14ac:dyDescent="0.25">
      <c r="A1191" s="2" t="s">
        <v>51</v>
      </c>
      <c r="B1191" s="2">
        <v>976.90200000000004</v>
      </c>
      <c r="C1191" s="2" t="s">
        <v>9066</v>
      </c>
      <c r="D1191" s="2" t="s">
        <v>9065</v>
      </c>
      <c r="E1191" s="2" t="s">
        <v>4660</v>
      </c>
      <c r="F1191" s="3">
        <v>29860</v>
      </c>
      <c r="G1191" s="2" t="str">
        <f>"9780813149264"</f>
        <v>9780813149264</v>
      </c>
      <c r="H1191" s="2" t="s">
        <v>14</v>
      </c>
      <c r="I1191" s="4">
        <v>43220.586805555555</v>
      </c>
      <c r="J1191" s="2" t="s">
        <v>9067</v>
      </c>
    </row>
    <row r="1192" spans="1:10" ht="135" x14ac:dyDescent="0.25">
      <c r="A1192" s="2" t="s">
        <v>51</v>
      </c>
      <c r="B1192" s="2" t="s">
        <v>5738</v>
      </c>
      <c r="C1192" s="2" t="s">
        <v>5739</v>
      </c>
      <c r="D1192" s="2" t="s">
        <v>5737</v>
      </c>
      <c r="E1192" s="2" t="s">
        <v>121</v>
      </c>
      <c r="F1192" s="3">
        <v>41640</v>
      </c>
      <c r="G1192" s="2" t="str">
        <f>"9781609174002"</f>
        <v>9781609174002</v>
      </c>
      <c r="H1192" s="2" t="s">
        <v>14</v>
      </c>
      <c r="I1192" s="4">
        <v>43577.393750000003</v>
      </c>
      <c r="J1192" s="2" t="s">
        <v>5740</v>
      </c>
    </row>
    <row r="1193" spans="1:10" ht="135" x14ac:dyDescent="0.25">
      <c r="A1193" s="2" t="s">
        <v>51</v>
      </c>
      <c r="B1193" s="2">
        <v>8200</v>
      </c>
      <c r="C1193" s="2" t="s">
        <v>1539</v>
      </c>
      <c r="D1193" s="2" t="s">
        <v>1538</v>
      </c>
      <c r="E1193" s="2" t="s">
        <v>526</v>
      </c>
      <c r="F1193" s="3">
        <v>42948</v>
      </c>
      <c r="G1193" s="2" t="str">
        <f>"9781477313206"</f>
        <v>9781477313206</v>
      </c>
      <c r="H1193" s="2" t="s">
        <v>14</v>
      </c>
      <c r="I1193" s="4">
        <v>43938.418055555558</v>
      </c>
      <c r="J1193" s="2" t="s">
        <v>1540</v>
      </c>
    </row>
    <row r="1194" spans="1:10" ht="135" x14ac:dyDescent="0.25">
      <c r="A1194" s="2" t="s">
        <v>51</v>
      </c>
      <c r="B1194" s="2">
        <v>972.94</v>
      </c>
      <c r="C1194" s="2" t="s">
        <v>10286</v>
      </c>
      <c r="D1194" s="2" t="s">
        <v>10285</v>
      </c>
      <c r="E1194" s="2" t="s">
        <v>130</v>
      </c>
      <c r="F1194" s="3">
        <v>42794</v>
      </c>
      <c r="G1194" s="2" t="str">
        <f>"9780813052748"</f>
        <v>9780813052748</v>
      </c>
      <c r="H1194" s="2" t="s">
        <v>14</v>
      </c>
      <c r="I1194" s="4">
        <v>43073.688194444447</v>
      </c>
      <c r="J1194" s="2" t="s">
        <v>10287</v>
      </c>
    </row>
    <row r="1195" spans="1:10" ht="135" x14ac:dyDescent="0.25">
      <c r="A1195" s="2" t="s">
        <v>51</v>
      </c>
      <c r="B1195" s="2">
        <v>960.33</v>
      </c>
      <c r="C1195" s="2" t="s">
        <v>1453</v>
      </c>
      <c r="D1195" s="2" t="s">
        <v>1452</v>
      </c>
      <c r="E1195" s="2" t="s">
        <v>121</v>
      </c>
      <c r="F1195" s="3">
        <v>43862</v>
      </c>
      <c r="G1195" s="2" t="str">
        <f>"9781609176303"</f>
        <v>9781609176303</v>
      </c>
      <c r="H1195" s="2" t="s">
        <v>14</v>
      </c>
      <c r="I1195" s="4">
        <v>43942.779861111114</v>
      </c>
      <c r="J1195" s="2" t="s">
        <v>1454</v>
      </c>
    </row>
    <row r="1196" spans="1:10" ht="135" x14ac:dyDescent="0.25">
      <c r="A1196" s="2" t="s">
        <v>51</v>
      </c>
      <c r="B1196" s="2">
        <v>940.1</v>
      </c>
      <c r="C1196" s="2" t="s">
        <v>2733</v>
      </c>
      <c r="D1196" s="2" t="s">
        <v>2732</v>
      </c>
      <c r="E1196" s="2" t="s">
        <v>674</v>
      </c>
      <c r="F1196" s="3">
        <v>43753</v>
      </c>
      <c r="G1196" s="2" t="str">
        <f>"9780823285594"</f>
        <v>9780823285594</v>
      </c>
      <c r="H1196" s="2" t="s">
        <v>14</v>
      </c>
      <c r="I1196" s="4">
        <v>43860.901388888888</v>
      </c>
      <c r="J1196" s="2" t="s">
        <v>2734</v>
      </c>
    </row>
    <row r="1197" spans="1:10" ht="135" x14ac:dyDescent="0.25">
      <c r="A1197" s="2" t="s">
        <v>51</v>
      </c>
      <c r="B1197" s="2">
        <v>986.6</v>
      </c>
      <c r="C1197" s="2" t="s">
        <v>831</v>
      </c>
      <c r="D1197" s="2" t="s">
        <v>830</v>
      </c>
      <c r="E1197" s="2" t="s">
        <v>526</v>
      </c>
      <c r="F1197" s="3">
        <v>32143</v>
      </c>
      <c r="G1197" s="2" t="str">
        <f>"9780292760943"</f>
        <v>9780292760943</v>
      </c>
      <c r="H1197" s="2" t="s">
        <v>14</v>
      </c>
      <c r="I1197" s="4">
        <v>43982.836111111108</v>
      </c>
      <c r="J1197" s="2" t="s">
        <v>832</v>
      </c>
    </row>
    <row r="1198" spans="1:10" ht="135" x14ac:dyDescent="0.25">
      <c r="A1198" s="2" t="s">
        <v>51</v>
      </c>
      <c r="B1198" s="2">
        <v>940.5</v>
      </c>
      <c r="C1198" s="2" t="s">
        <v>11088</v>
      </c>
      <c r="D1198" s="2" t="s">
        <v>11087</v>
      </c>
      <c r="E1198" s="2" t="s">
        <v>69</v>
      </c>
      <c r="F1198" s="3">
        <v>42856</v>
      </c>
      <c r="G1198" s="2" t="str">
        <f>"9780253026781"</f>
        <v>9780253026781</v>
      </c>
      <c r="H1198" s="2" t="s">
        <v>14</v>
      </c>
      <c r="I1198" s="4">
        <v>43018.665972222225</v>
      </c>
      <c r="J1198" s="2" t="s">
        <v>11089</v>
      </c>
    </row>
    <row r="1199" spans="1:10" ht="135" x14ac:dyDescent="0.25">
      <c r="A1199" s="2" t="s">
        <v>51</v>
      </c>
      <c r="B1199" s="2">
        <v>940.2</v>
      </c>
      <c r="C1199" s="2" t="s">
        <v>20</v>
      </c>
      <c r="D1199" s="2" t="s">
        <v>1271</v>
      </c>
      <c r="E1199" s="2" t="s">
        <v>618</v>
      </c>
      <c r="F1199" s="3">
        <v>40499</v>
      </c>
      <c r="G1199" s="2" t="str">
        <f>"9780230113138"</f>
        <v>9780230113138</v>
      </c>
      <c r="H1199" s="2" t="s">
        <v>14</v>
      </c>
      <c r="I1199" s="4">
        <v>43952.376388888886</v>
      </c>
      <c r="J1199" s="2" t="s">
        <v>1272</v>
      </c>
    </row>
    <row r="1200" spans="1:10" ht="135" x14ac:dyDescent="0.25">
      <c r="A1200" s="2" t="s">
        <v>51</v>
      </c>
      <c r="B1200" s="2" t="s">
        <v>12906</v>
      </c>
      <c r="C1200" s="2" t="s">
        <v>12907</v>
      </c>
      <c r="D1200" s="2" t="s">
        <v>12905</v>
      </c>
      <c r="E1200" s="2" t="s">
        <v>526</v>
      </c>
      <c r="F1200" s="3">
        <v>41105</v>
      </c>
      <c r="G1200" s="2" t="str">
        <f>"9780292737600"</f>
        <v>9780292737600</v>
      </c>
      <c r="H1200" s="2" t="s">
        <v>14</v>
      </c>
      <c r="I1200" s="4">
        <v>42760.840277777781</v>
      </c>
      <c r="J1200" s="2" t="s">
        <v>12908</v>
      </c>
    </row>
    <row r="1201" spans="1:10" ht="135" x14ac:dyDescent="0.25">
      <c r="A1201" s="2" t="s">
        <v>51</v>
      </c>
      <c r="B1201" s="2" t="s">
        <v>1467</v>
      </c>
      <c r="C1201" s="2" t="s">
        <v>1468</v>
      </c>
      <c r="D1201" s="2" t="s">
        <v>1466</v>
      </c>
      <c r="E1201" s="2" t="s">
        <v>216</v>
      </c>
      <c r="F1201" s="3">
        <v>43282</v>
      </c>
      <c r="G1201" s="2" t="str">
        <f>"9781438470337"</f>
        <v>9781438470337</v>
      </c>
      <c r="H1201" s="2" t="s">
        <v>14</v>
      </c>
      <c r="I1201" s="4">
        <v>43942.622916666667</v>
      </c>
      <c r="J1201" s="2" t="s">
        <v>1469</v>
      </c>
    </row>
    <row r="1202" spans="1:10" ht="135" x14ac:dyDescent="0.25">
      <c r="A1202" s="2" t="s">
        <v>51</v>
      </c>
      <c r="B1202" s="2">
        <v>940.42200000000003</v>
      </c>
      <c r="C1202" s="2" t="s">
        <v>12855</v>
      </c>
      <c r="D1202" s="2" t="s">
        <v>12854</v>
      </c>
      <c r="E1202" s="2" t="s">
        <v>69</v>
      </c>
      <c r="F1202" s="3">
        <v>42598</v>
      </c>
      <c r="G1202" s="2" t="str">
        <f>"9780253022073"</f>
        <v>9780253022073</v>
      </c>
      <c r="H1202" s="2" t="s">
        <v>14</v>
      </c>
      <c r="I1202" s="4">
        <v>42766.470138888886</v>
      </c>
      <c r="J1202" s="2" t="s">
        <v>12856</v>
      </c>
    </row>
    <row r="1203" spans="1:10" ht="135" x14ac:dyDescent="0.25">
      <c r="A1203" s="2" t="s">
        <v>51</v>
      </c>
      <c r="B1203" s="2">
        <v>951.90200000000004</v>
      </c>
      <c r="C1203" s="2" t="s">
        <v>8373</v>
      </c>
      <c r="D1203" s="2" t="s">
        <v>8372</v>
      </c>
      <c r="E1203" s="2" t="s">
        <v>856</v>
      </c>
      <c r="F1203" s="3">
        <v>41593</v>
      </c>
      <c r="G1203" s="2" t="str">
        <f>"9780295804965"</f>
        <v>9780295804965</v>
      </c>
      <c r="H1203" s="2" t="s">
        <v>14</v>
      </c>
      <c r="I1203" s="4">
        <v>43314.65902777778</v>
      </c>
      <c r="J1203" s="2" t="s">
        <v>8374</v>
      </c>
    </row>
    <row r="1204" spans="1:10" ht="135" x14ac:dyDescent="0.25">
      <c r="A1204" s="2" t="s">
        <v>5132</v>
      </c>
      <c r="B1204" s="2">
        <v>973.93309199999999</v>
      </c>
      <c r="C1204" s="2" t="s">
        <v>7716</v>
      </c>
      <c r="D1204" s="2" t="s">
        <v>7715</v>
      </c>
      <c r="E1204" s="2" t="s">
        <v>268</v>
      </c>
      <c r="F1204" s="3">
        <v>43116</v>
      </c>
      <c r="G1204" s="2" t="str">
        <f>"9780815732792"</f>
        <v>9780815732792</v>
      </c>
      <c r="H1204" s="2" t="s">
        <v>14</v>
      </c>
      <c r="I1204" s="4">
        <v>43397.877083333333</v>
      </c>
      <c r="J1204" s="2" t="s">
        <v>7717</v>
      </c>
    </row>
    <row r="1205" spans="1:10" ht="135" x14ac:dyDescent="0.25">
      <c r="A1205" s="2" t="s">
        <v>5132</v>
      </c>
      <c r="B1205" s="2" t="s">
        <v>8573</v>
      </c>
      <c r="C1205" s="2" t="s">
        <v>8574</v>
      </c>
      <c r="D1205" s="2" t="s">
        <v>8572</v>
      </c>
      <c r="E1205" s="2" t="s">
        <v>54</v>
      </c>
      <c r="F1205" s="3">
        <v>42739</v>
      </c>
      <c r="G1205" s="2" t="str">
        <f>"9781503600799"</f>
        <v>9781503600799</v>
      </c>
      <c r="H1205" s="2" t="s">
        <v>14</v>
      </c>
      <c r="I1205" s="4">
        <v>43286.572222222225</v>
      </c>
      <c r="J1205" s="2" t="s">
        <v>8575</v>
      </c>
    </row>
    <row r="1206" spans="1:10" ht="135" x14ac:dyDescent="0.25">
      <c r="A1206" s="2" t="s">
        <v>5132</v>
      </c>
      <c r="B1206" s="2">
        <v>951.27503200000001</v>
      </c>
      <c r="C1206" s="2" t="s">
        <v>12781</v>
      </c>
      <c r="D1206" s="2" t="s">
        <v>12780</v>
      </c>
      <c r="E1206" s="2" t="s">
        <v>221</v>
      </c>
      <c r="F1206" s="3">
        <v>42346</v>
      </c>
      <c r="G1206" s="2" t="str">
        <f>"9789888313853"</f>
        <v>9789888313853</v>
      </c>
      <c r="H1206" s="2" t="s">
        <v>14</v>
      </c>
      <c r="I1206" s="4">
        <v>42774.936805555553</v>
      </c>
      <c r="J1206" s="2" t="s">
        <v>12782</v>
      </c>
    </row>
    <row r="1207" spans="1:10" ht="135" x14ac:dyDescent="0.25">
      <c r="A1207" s="2" t="s">
        <v>5132</v>
      </c>
      <c r="B1207" s="2">
        <v>972.08100000000002</v>
      </c>
      <c r="C1207" s="2" t="s">
        <v>5133</v>
      </c>
      <c r="D1207" s="2" t="s">
        <v>5131</v>
      </c>
      <c r="E1207" s="2" t="s">
        <v>50</v>
      </c>
      <c r="F1207" s="3">
        <v>42552</v>
      </c>
      <c r="G1207" s="2" t="str">
        <f>"9780803288744"</f>
        <v>9780803288744</v>
      </c>
      <c r="H1207" s="2" t="s">
        <v>14</v>
      </c>
      <c r="I1207" s="4">
        <v>43609.841666666667</v>
      </c>
      <c r="J1207" s="2" t="s">
        <v>5134</v>
      </c>
    </row>
    <row r="1208" spans="1:10" ht="150" x14ac:dyDescent="0.25">
      <c r="A1208" s="2" t="s">
        <v>5132</v>
      </c>
      <c r="B1208" s="2">
        <v>951.03200000000004</v>
      </c>
      <c r="C1208" s="2" t="s">
        <v>8329</v>
      </c>
      <c r="D1208" s="2" t="s">
        <v>8328</v>
      </c>
      <c r="E1208" s="2" t="s">
        <v>460</v>
      </c>
      <c r="F1208" s="3">
        <v>42816</v>
      </c>
      <c r="G1208" s="2" t="str">
        <f>"9780773549173"</f>
        <v>9780773549173</v>
      </c>
      <c r="H1208" s="2" t="s">
        <v>14</v>
      </c>
      <c r="I1208" s="4">
        <v>43321.026388888888</v>
      </c>
      <c r="J1208" s="2" t="s">
        <v>8330</v>
      </c>
    </row>
    <row r="1209" spans="1:10" ht="135" x14ac:dyDescent="0.25">
      <c r="A1209" s="2" t="s">
        <v>5132</v>
      </c>
      <c r="B1209" s="2" t="s">
        <v>12578</v>
      </c>
      <c r="C1209" s="2" t="s">
        <v>12579</v>
      </c>
      <c r="D1209" s="2" t="s">
        <v>12577</v>
      </c>
      <c r="E1209" s="2" t="s">
        <v>54</v>
      </c>
      <c r="F1209" s="3">
        <v>42319</v>
      </c>
      <c r="G1209" s="2" t="str">
        <f>"9780804798648"</f>
        <v>9780804798648</v>
      </c>
      <c r="H1209" s="2" t="s">
        <v>14</v>
      </c>
      <c r="I1209" s="4">
        <v>42794.647916666669</v>
      </c>
      <c r="J1209" s="2" t="s">
        <v>12580</v>
      </c>
    </row>
    <row r="1210" spans="1:10" ht="135" x14ac:dyDescent="0.25">
      <c r="A1210" s="2" t="s">
        <v>8111</v>
      </c>
      <c r="B1210" s="2">
        <v>338.47699999999998</v>
      </c>
      <c r="C1210" s="2" t="s">
        <v>8112</v>
      </c>
      <c r="D1210" s="2" t="s">
        <v>8110</v>
      </c>
      <c r="E1210" s="2" t="s">
        <v>397</v>
      </c>
      <c r="F1210" s="3">
        <v>43284</v>
      </c>
      <c r="G1210" s="2" t="str">
        <f>"9780822983392"</f>
        <v>9780822983392</v>
      </c>
      <c r="H1210" s="2" t="s">
        <v>14</v>
      </c>
      <c r="I1210" s="4">
        <v>43351.449305555558</v>
      </c>
      <c r="J1210" s="2" t="s">
        <v>8113</v>
      </c>
    </row>
    <row r="1211" spans="1:10" ht="135" x14ac:dyDescent="0.25">
      <c r="A1211" s="2" t="s">
        <v>1258</v>
      </c>
      <c r="B1211" s="2" t="s">
        <v>1259</v>
      </c>
      <c r="C1211" s="2" t="s">
        <v>1260</v>
      </c>
      <c r="D1211" s="2" t="s">
        <v>1256</v>
      </c>
      <c r="E1211" s="2" t="s">
        <v>1257</v>
      </c>
      <c r="F1211" s="3">
        <v>42278</v>
      </c>
      <c r="G1211" s="2" t="str">
        <f>"9781613748213"</f>
        <v>9781613748213</v>
      </c>
      <c r="H1211" s="2" t="s">
        <v>14</v>
      </c>
      <c r="I1211" s="4">
        <v>43952.529861111114</v>
      </c>
      <c r="J1211" s="2" t="s">
        <v>1261</v>
      </c>
    </row>
    <row r="1212" spans="1:10" ht="150" x14ac:dyDescent="0.25">
      <c r="A1212" s="2" t="s">
        <v>1258</v>
      </c>
      <c r="B1212" s="2" t="s">
        <v>2596</v>
      </c>
      <c r="C1212" s="2" t="s">
        <v>2597</v>
      </c>
      <c r="D1212" s="2" t="s">
        <v>2595</v>
      </c>
      <c r="E1212" s="2" t="s">
        <v>216</v>
      </c>
      <c r="F1212" s="3">
        <v>43221</v>
      </c>
      <c r="G1212" s="2" t="str">
        <f>"9781438468402"</f>
        <v>9781438468402</v>
      </c>
      <c r="H1212" s="2" t="s">
        <v>14</v>
      </c>
      <c r="I1212" s="4">
        <v>43873.533333333333</v>
      </c>
      <c r="J1212" s="2" t="s">
        <v>2598</v>
      </c>
    </row>
    <row r="1213" spans="1:10" ht="135" x14ac:dyDescent="0.25">
      <c r="A1213" s="2" t="s">
        <v>6647</v>
      </c>
      <c r="B1213" s="2">
        <v>370</v>
      </c>
      <c r="C1213" s="2" t="s">
        <v>6648</v>
      </c>
      <c r="D1213" s="2" t="s">
        <v>6646</v>
      </c>
      <c r="E1213" s="2" t="s">
        <v>58</v>
      </c>
      <c r="F1213" s="3">
        <v>42143</v>
      </c>
      <c r="G1213" s="2" t="str">
        <f>"9780299303037"</f>
        <v>9780299303037</v>
      </c>
      <c r="H1213" s="2" t="s">
        <v>14</v>
      </c>
      <c r="I1213" s="4">
        <v>43500.611111111109</v>
      </c>
      <c r="J1213" s="2" t="s">
        <v>6649</v>
      </c>
    </row>
    <row r="1214" spans="1:10" ht="135" x14ac:dyDescent="0.25">
      <c r="A1214" s="2" t="s">
        <v>1403</v>
      </c>
      <c r="D1214" s="2" t="s">
        <v>1402</v>
      </c>
      <c r="E1214" s="2" t="s">
        <v>156</v>
      </c>
      <c r="F1214" s="3">
        <v>43934</v>
      </c>
      <c r="G1214" s="2" t="str">
        <f>"9781469655406"</f>
        <v>9781469655406</v>
      </c>
      <c r="H1214" s="2" t="s">
        <v>14</v>
      </c>
      <c r="I1214" s="4">
        <v>43945.509027777778</v>
      </c>
      <c r="J1214" s="2" t="s">
        <v>1404</v>
      </c>
    </row>
    <row r="1215" spans="1:10" ht="135" x14ac:dyDescent="0.25">
      <c r="A1215" s="2" t="s">
        <v>1403</v>
      </c>
      <c r="B1215" s="2">
        <v>363.69</v>
      </c>
      <c r="C1215" s="2" t="s">
        <v>9100</v>
      </c>
      <c r="D1215" s="2" t="s">
        <v>9099</v>
      </c>
      <c r="E1215" s="2" t="s">
        <v>89</v>
      </c>
      <c r="F1215" s="3">
        <v>41760</v>
      </c>
      <c r="G1215" s="2" t="str">
        <f>"9781782382997"</f>
        <v>9781782382997</v>
      </c>
      <c r="H1215" s="2" t="s">
        <v>14</v>
      </c>
      <c r="I1215" s="4">
        <v>43218.647222222222</v>
      </c>
      <c r="J1215" s="2" t="s">
        <v>9101</v>
      </c>
    </row>
    <row r="1216" spans="1:10" ht="135" x14ac:dyDescent="0.25">
      <c r="A1216" s="2" t="s">
        <v>1403</v>
      </c>
      <c r="B1216" s="2" t="s">
        <v>6130</v>
      </c>
      <c r="C1216" s="2" t="s">
        <v>6131</v>
      </c>
      <c r="D1216" s="2" t="s">
        <v>6129</v>
      </c>
      <c r="E1216" s="2" t="s">
        <v>5954</v>
      </c>
      <c r="F1216" s="3">
        <v>42248</v>
      </c>
      <c r="G1216" s="2" t="str">
        <f>"9781607323846"</f>
        <v>9781607323846</v>
      </c>
      <c r="H1216" s="2" t="s">
        <v>14</v>
      </c>
      <c r="I1216" s="4">
        <v>43537.479861111111</v>
      </c>
      <c r="J1216" s="2" t="s">
        <v>6132</v>
      </c>
    </row>
    <row r="1217" spans="1:10" ht="135" x14ac:dyDescent="0.25">
      <c r="A1217" s="2" t="s">
        <v>1403</v>
      </c>
      <c r="B1217" s="2" t="s">
        <v>7644</v>
      </c>
      <c r="C1217" s="2" t="s">
        <v>7645</v>
      </c>
      <c r="D1217" s="2" t="s">
        <v>7643</v>
      </c>
      <c r="E1217" s="2" t="s">
        <v>130</v>
      </c>
      <c r="F1217" s="3">
        <v>43192</v>
      </c>
      <c r="G1217" s="2" t="str">
        <f>"9780813052182"</f>
        <v>9780813052182</v>
      </c>
      <c r="H1217" s="2" t="s">
        <v>14</v>
      </c>
      <c r="I1217" s="4">
        <v>43402.790972222225</v>
      </c>
      <c r="J1217" s="2" t="s">
        <v>7646</v>
      </c>
    </row>
    <row r="1218" spans="1:10" ht="180" x14ac:dyDescent="0.25">
      <c r="A1218" s="2" t="s">
        <v>5746</v>
      </c>
      <c r="B1218" s="2">
        <v>941</v>
      </c>
      <c r="C1218" s="2" t="s">
        <v>11121</v>
      </c>
      <c r="D1218" s="2" t="s">
        <v>11120</v>
      </c>
      <c r="E1218" s="2" t="s">
        <v>80</v>
      </c>
      <c r="F1218" s="3">
        <v>42216</v>
      </c>
      <c r="G1218" s="2" t="str">
        <f>"9783653057423"</f>
        <v>9783653057423</v>
      </c>
      <c r="H1218" s="2" t="s">
        <v>14</v>
      </c>
      <c r="I1218" s="4">
        <v>43017.445833333331</v>
      </c>
      <c r="J1218" s="2" t="s">
        <v>11122</v>
      </c>
    </row>
    <row r="1219" spans="1:10" ht="135" x14ac:dyDescent="0.25">
      <c r="A1219" s="2" t="s">
        <v>5746</v>
      </c>
      <c r="D1219" s="2" t="s">
        <v>5745</v>
      </c>
      <c r="E1219" s="2" t="s">
        <v>485</v>
      </c>
      <c r="F1219" s="3">
        <v>41793</v>
      </c>
      <c r="G1219" s="2" t="str">
        <f>"9781480489578"</f>
        <v>9781480489578</v>
      </c>
      <c r="H1219" s="2" t="s">
        <v>14</v>
      </c>
      <c r="I1219" s="4">
        <v>43576.454861111109</v>
      </c>
      <c r="J1219" s="2" t="s">
        <v>5747</v>
      </c>
    </row>
    <row r="1220" spans="1:10" ht="135" x14ac:dyDescent="0.25">
      <c r="A1220" s="2" t="s">
        <v>1802</v>
      </c>
      <c r="B1220" s="2">
        <v>704.03970000000004</v>
      </c>
      <c r="C1220" s="2" t="s">
        <v>3429</v>
      </c>
      <c r="D1220" s="2" t="s">
        <v>3428</v>
      </c>
      <c r="E1220" s="2" t="s">
        <v>856</v>
      </c>
      <c r="F1220" s="3">
        <v>34669</v>
      </c>
      <c r="G1220" s="2" t="str">
        <f>"9780295998602"</f>
        <v>9780295998602</v>
      </c>
      <c r="H1220" s="2" t="s">
        <v>14</v>
      </c>
      <c r="I1220" s="4">
        <v>43783.426388888889</v>
      </c>
      <c r="J1220" s="2" t="s">
        <v>3430</v>
      </c>
    </row>
    <row r="1221" spans="1:10" ht="135" x14ac:dyDescent="0.25">
      <c r="A1221" s="2" t="s">
        <v>1802</v>
      </c>
      <c r="B1221" s="2">
        <v>704.94930636200002</v>
      </c>
      <c r="C1221" s="2" t="s">
        <v>10150</v>
      </c>
      <c r="D1221" s="2" t="s">
        <v>10149</v>
      </c>
      <c r="E1221" s="2" t="s">
        <v>674</v>
      </c>
      <c r="F1221" s="3">
        <v>42614</v>
      </c>
      <c r="G1221" s="2" t="str">
        <f>""</f>
        <v/>
      </c>
      <c r="H1221" s="2" t="s">
        <v>14</v>
      </c>
      <c r="I1221" s="4">
        <v>43091.669444444444</v>
      </c>
      <c r="J1221" s="2" t="s">
        <v>10151</v>
      </c>
    </row>
    <row r="1222" spans="1:10" ht="135" x14ac:dyDescent="0.25">
      <c r="A1222" s="2" t="s">
        <v>1802</v>
      </c>
      <c r="B1222" s="2" t="s">
        <v>2546</v>
      </c>
      <c r="C1222" s="2" t="s">
        <v>2547</v>
      </c>
      <c r="D1222" s="2" t="s">
        <v>2545</v>
      </c>
      <c r="E1222" s="2" t="s">
        <v>526</v>
      </c>
      <c r="F1222" s="3">
        <v>42529</v>
      </c>
      <c r="G1222" s="2" t="str">
        <f>"9781477300442"</f>
        <v>9781477300442</v>
      </c>
      <c r="H1222" s="2" t="s">
        <v>14</v>
      </c>
      <c r="I1222" s="4">
        <v>43877.470138888886</v>
      </c>
      <c r="J1222" s="2" t="s">
        <v>2548</v>
      </c>
    </row>
    <row r="1223" spans="1:10" ht="150" x14ac:dyDescent="0.25">
      <c r="A1223" s="2" t="s">
        <v>1802</v>
      </c>
      <c r="B1223" s="2" t="s">
        <v>5955</v>
      </c>
      <c r="C1223" s="2" t="s">
        <v>5956</v>
      </c>
      <c r="D1223" s="2" t="s">
        <v>5953</v>
      </c>
      <c r="E1223" s="2" t="s">
        <v>5954</v>
      </c>
      <c r="F1223" s="3">
        <v>42705</v>
      </c>
      <c r="G1223" s="2" t="str">
        <f>"9781607324980"</f>
        <v>9781607324980</v>
      </c>
      <c r="H1223" s="2" t="s">
        <v>14</v>
      </c>
      <c r="I1223" s="4">
        <v>43553.397222222222</v>
      </c>
      <c r="J1223" s="2" t="s">
        <v>5957</v>
      </c>
    </row>
    <row r="1224" spans="1:10" ht="135" x14ac:dyDescent="0.25">
      <c r="A1224" s="2" t="s">
        <v>1802</v>
      </c>
      <c r="B1224" s="2">
        <v>791.43094951199998</v>
      </c>
      <c r="C1224" s="2" t="s">
        <v>1803</v>
      </c>
      <c r="D1224" s="2" t="s">
        <v>1801</v>
      </c>
      <c r="E1224" s="2" t="s">
        <v>934</v>
      </c>
      <c r="F1224" s="3">
        <v>41640</v>
      </c>
      <c r="G1224" s="2" t="str">
        <f>"9781783203420"</f>
        <v>9781783203420</v>
      </c>
      <c r="H1224" s="2" t="s">
        <v>14</v>
      </c>
      <c r="I1224" s="4">
        <v>43926.729861111111</v>
      </c>
      <c r="J1224" s="2" t="s">
        <v>1804</v>
      </c>
    </row>
    <row r="1225" spans="1:10" ht="135" x14ac:dyDescent="0.25">
      <c r="A1225" s="2" t="s">
        <v>66</v>
      </c>
      <c r="B1225" s="2">
        <v>907.47743300000002</v>
      </c>
      <c r="C1225" s="2" t="s">
        <v>4929</v>
      </c>
      <c r="D1225" s="2" t="s">
        <v>4928</v>
      </c>
      <c r="E1225" s="2" t="s">
        <v>33</v>
      </c>
      <c r="F1225" s="3">
        <v>41791</v>
      </c>
      <c r="G1225" s="2" t="str">
        <f>"9781613763025"</f>
        <v>9781613763025</v>
      </c>
      <c r="H1225" s="2" t="s">
        <v>14</v>
      </c>
      <c r="I1225" s="4">
        <v>43617.043749999997</v>
      </c>
      <c r="J1225" s="2" t="s">
        <v>4930</v>
      </c>
    </row>
    <row r="1226" spans="1:10" ht="135" x14ac:dyDescent="0.25">
      <c r="A1226" s="2" t="s">
        <v>66</v>
      </c>
      <c r="B1226" s="2">
        <v>917.70399999999995</v>
      </c>
      <c r="C1226" s="2" t="s">
        <v>12312</v>
      </c>
      <c r="D1226" s="2" t="s">
        <v>12311</v>
      </c>
      <c r="E1226" s="2" t="s">
        <v>73</v>
      </c>
      <c r="F1226" s="3">
        <v>42367</v>
      </c>
      <c r="G1226" s="2" t="str">
        <f>"9781452944906"</f>
        <v>9781452944906</v>
      </c>
      <c r="H1226" s="2" t="s">
        <v>14</v>
      </c>
      <c r="I1226" s="4">
        <v>42816.607638888891</v>
      </c>
      <c r="J1226" s="2" t="s">
        <v>12313</v>
      </c>
    </row>
    <row r="1227" spans="1:10" ht="135" x14ac:dyDescent="0.25">
      <c r="A1227" s="2" t="s">
        <v>66</v>
      </c>
      <c r="B1227" s="2" t="s">
        <v>11934</v>
      </c>
      <c r="C1227" s="2" t="s">
        <v>11935</v>
      </c>
      <c r="D1227" s="2" t="s">
        <v>11933</v>
      </c>
      <c r="E1227" s="2" t="s">
        <v>180</v>
      </c>
      <c r="F1227" s="3">
        <v>42139</v>
      </c>
      <c r="G1227" s="2" t="str">
        <f>"9781479842360"</f>
        <v>9781479842360</v>
      </c>
      <c r="H1227" s="2" t="s">
        <v>14</v>
      </c>
      <c r="I1227" s="4">
        <v>42870.991666666669</v>
      </c>
      <c r="J1227" s="2" t="s">
        <v>11936</v>
      </c>
    </row>
    <row r="1228" spans="1:10" ht="135" x14ac:dyDescent="0.25">
      <c r="A1228" s="2" t="s">
        <v>66</v>
      </c>
      <c r="B1228" s="2" t="s">
        <v>4904</v>
      </c>
      <c r="C1228" s="2" t="s">
        <v>4905</v>
      </c>
      <c r="D1228" s="2" t="s">
        <v>4902</v>
      </c>
      <c r="E1228" s="2" t="s">
        <v>4903</v>
      </c>
      <c r="F1228" s="3">
        <v>41981</v>
      </c>
      <c r="G1228" s="2" t="str">
        <f>"9781868425501"</f>
        <v>9781868425501</v>
      </c>
      <c r="H1228" s="2" t="s">
        <v>14</v>
      </c>
      <c r="I1228" s="4">
        <v>43619.021527777775</v>
      </c>
      <c r="J1228" s="2" t="s">
        <v>4906</v>
      </c>
    </row>
    <row r="1229" spans="1:10" ht="135" x14ac:dyDescent="0.25">
      <c r="A1229" s="2" t="s">
        <v>66</v>
      </c>
      <c r="B1229" s="2">
        <v>909.09824000000003</v>
      </c>
      <c r="C1229" s="2" t="s">
        <v>20</v>
      </c>
      <c r="D1229" s="2" t="s">
        <v>11397</v>
      </c>
      <c r="E1229" s="2" t="s">
        <v>37</v>
      </c>
      <c r="F1229" s="3">
        <v>42731</v>
      </c>
      <c r="G1229" s="2" t="str">
        <f>"9783319338224"</f>
        <v>9783319338224</v>
      </c>
      <c r="H1229" s="2" t="s">
        <v>14</v>
      </c>
      <c r="I1229" s="4">
        <v>42977.446527777778</v>
      </c>
      <c r="J1229" s="2" t="s">
        <v>11398</v>
      </c>
    </row>
    <row r="1230" spans="1:10" ht="135" x14ac:dyDescent="0.25">
      <c r="A1230" s="2" t="s">
        <v>66</v>
      </c>
      <c r="B1230" s="2">
        <v>909.08</v>
      </c>
      <c r="C1230" s="2" t="s">
        <v>6146</v>
      </c>
      <c r="D1230" s="2" t="s">
        <v>6145</v>
      </c>
      <c r="E1230" s="2" t="s">
        <v>216</v>
      </c>
      <c r="F1230" s="3">
        <v>43466</v>
      </c>
      <c r="G1230" s="2" t="str">
        <f>"9781438474366"</f>
        <v>9781438474366</v>
      </c>
      <c r="H1230" s="2" t="s">
        <v>14</v>
      </c>
      <c r="I1230" s="4">
        <v>43536.520833333336</v>
      </c>
      <c r="J1230" s="2" t="s">
        <v>6147</v>
      </c>
    </row>
    <row r="1231" spans="1:10" ht="135" x14ac:dyDescent="0.25">
      <c r="A1231" s="2" t="s">
        <v>66</v>
      </c>
      <c r="B1231" s="2">
        <v>951.25</v>
      </c>
      <c r="C1231" s="2" t="s">
        <v>5847</v>
      </c>
      <c r="D1231" s="2" t="s">
        <v>5846</v>
      </c>
      <c r="E1231" s="2" t="s">
        <v>216</v>
      </c>
      <c r="F1231" s="3">
        <v>43405</v>
      </c>
      <c r="G1231" s="2" t="str">
        <f>"9781438471709"</f>
        <v>9781438471709</v>
      </c>
      <c r="H1231" s="2" t="s">
        <v>14</v>
      </c>
      <c r="I1231" s="4">
        <v>43565.574999999997</v>
      </c>
      <c r="J1231" s="2" t="s">
        <v>5848</v>
      </c>
    </row>
    <row r="1232" spans="1:10" ht="135" x14ac:dyDescent="0.25">
      <c r="A1232" s="2" t="s">
        <v>66</v>
      </c>
      <c r="B1232" s="2">
        <v>917.30409034000002</v>
      </c>
      <c r="C1232" s="2" t="s">
        <v>571</v>
      </c>
      <c r="D1232" s="2" t="s">
        <v>570</v>
      </c>
      <c r="E1232" s="2" t="s">
        <v>69</v>
      </c>
      <c r="F1232" s="3">
        <v>42989</v>
      </c>
      <c r="G1232" s="2" t="str">
        <f>"9780253031228"</f>
        <v>9780253031228</v>
      </c>
      <c r="H1232" s="2" t="s">
        <v>14</v>
      </c>
      <c r="I1232" s="4">
        <v>44011.481249999997</v>
      </c>
      <c r="J1232" s="2" t="s">
        <v>572</v>
      </c>
    </row>
    <row r="1233" spans="1:10" ht="135" x14ac:dyDescent="0.25">
      <c r="A1233" s="2" t="s">
        <v>66</v>
      </c>
      <c r="B1233" s="2">
        <v>901</v>
      </c>
      <c r="C1233" s="2" t="s">
        <v>10590</v>
      </c>
      <c r="D1233" s="2" t="s">
        <v>10589</v>
      </c>
      <c r="E1233" s="2" t="s">
        <v>54</v>
      </c>
      <c r="F1233" s="3">
        <v>42969</v>
      </c>
      <c r="G1233" s="2" t="str">
        <f>"9781503603424"</f>
        <v>9781503603424</v>
      </c>
      <c r="H1233" s="2" t="s">
        <v>14</v>
      </c>
      <c r="I1233" s="4">
        <v>43048.588194444441</v>
      </c>
      <c r="J1233" s="2" t="s">
        <v>10591</v>
      </c>
    </row>
    <row r="1234" spans="1:10" ht="135" x14ac:dyDescent="0.25">
      <c r="A1234" s="2" t="s">
        <v>66</v>
      </c>
      <c r="B1234" s="2">
        <v>951.25040000000001</v>
      </c>
      <c r="C1234" s="2" t="s">
        <v>11567</v>
      </c>
      <c r="D1234" s="2" t="s">
        <v>11566</v>
      </c>
      <c r="E1234" s="2" t="s">
        <v>221</v>
      </c>
      <c r="F1234" s="3">
        <v>42597</v>
      </c>
      <c r="G1234" s="2" t="str">
        <f>"9789888390106"</f>
        <v>9789888390106</v>
      </c>
      <c r="H1234" s="2" t="s">
        <v>14</v>
      </c>
      <c r="I1234" s="4">
        <v>42927.695138888892</v>
      </c>
      <c r="J1234" s="2" t="s">
        <v>11568</v>
      </c>
    </row>
    <row r="1235" spans="1:10" ht="135" x14ac:dyDescent="0.25">
      <c r="A1235" s="2" t="s">
        <v>66</v>
      </c>
      <c r="B1235" s="2">
        <v>917.69</v>
      </c>
      <c r="C1235" s="2" t="s">
        <v>9645</v>
      </c>
      <c r="D1235" s="2" t="s">
        <v>9644</v>
      </c>
      <c r="E1235" s="2" t="s">
        <v>4660</v>
      </c>
      <c r="F1235" s="3">
        <v>41827</v>
      </c>
      <c r="G1235" s="2" t="str">
        <f>"9780813164595"</f>
        <v>9780813164595</v>
      </c>
      <c r="H1235" s="2" t="s">
        <v>14</v>
      </c>
      <c r="I1235" s="4">
        <v>43141.72152777778</v>
      </c>
      <c r="J1235" s="2" t="s">
        <v>9646</v>
      </c>
    </row>
    <row r="1236" spans="1:10" ht="135" x14ac:dyDescent="0.25">
      <c r="A1236" s="2" t="s">
        <v>66</v>
      </c>
      <c r="D1236" s="2" t="s">
        <v>64</v>
      </c>
      <c r="E1236" s="2" t="s">
        <v>65</v>
      </c>
      <c r="F1236" s="3">
        <v>43979</v>
      </c>
      <c r="G1236" s="2" t="str">
        <f>"9780806167015"</f>
        <v>9780806167015</v>
      </c>
      <c r="H1236" s="2" t="s">
        <v>14</v>
      </c>
      <c r="I1236" s="4">
        <v>44074.65625</v>
      </c>
      <c r="J1236" s="2" t="s">
        <v>67</v>
      </c>
    </row>
    <row r="1237" spans="1:10" ht="135" x14ac:dyDescent="0.25">
      <c r="A1237" s="2" t="s">
        <v>66</v>
      </c>
      <c r="B1237" s="2">
        <v>909</v>
      </c>
      <c r="C1237" s="2" t="s">
        <v>1657</v>
      </c>
      <c r="D1237" s="2" t="s">
        <v>1655</v>
      </c>
      <c r="E1237" s="2" t="s">
        <v>1656</v>
      </c>
      <c r="F1237" s="3">
        <v>43502</v>
      </c>
      <c r="G1237" s="2" t="str">
        <f>"9781943859986"</f>
        <v>9781943859986</v>
      </c>
      <c r="H1237" s="2" t="s">
        <v>14</v>
      </c>
      <c r="I1237" s="4">
        <v>43934.665972222225</v>
      </c>
      <c r="J1237" s="2" t="s">
        <v>1658</v>
      </c>
    </row>
    <row r="1238" spans="1:10" ht="135" x14ac:dyDescent="0.25">
      <c r="A1238" s="2" t="s">
        <v>66</v>
      </c>
      <c r="B1238" s="2">
        <v>900</v>
      </c>
      <c r="C1238" s="2" t="s">
        <v>8136</v>
      </c>
      <c r="D1238" s="2" t="s">
        <v>8135</v>
      </c>
      <c r="E1238" s="2" t="s">
        <v>69</v>
      </c>
      <c r="F1238" s="3">
        <v>42219</v>
      </c>
      <c r="G1238" s="2" t="str">
        <f>"9780253017062"</f>
        <v>9780253017062</v>
      </c>
      <c r="H1238" s="2" t="s">
        <v>14</v>
      </c>
      <c r="I1238" s="4">
        <v>43348.480555555558</v>
      </c>
      <c r="J1238" s="2" t="s">
        <v>8137</v>
      </c>
    </row>
    <row r="1239" spans="1:10" ht="135" x14ac:dyDescent="0.25">
      <c r="A1239" s="2" t="s">
        <v>66</v>
      </c>
      <c r="B1239" s="2">
        <v>907.1</v>
      </c>
      <c r="C1239" s="2" t="s">
        <v>3776</v>
      </c>
      <c r="D1239" s="2" t="s">
        <v>3775</v>
      </c>
      <c r="E1239" s="2" t="s">
        <v>130</v>
      </c>
      <c r="F1239" s="3">
        <v>43486</v>
      </c>
      <c r="G1239" s="2" t="str">
        <f>"9780813052489"</f>
        <v>9780813052489</v>
      </c>
      <c r="H1239" s="2" t="s">
        <v>14</v>
      </c>
      <c r="I1239" s="4">
        <v>43755.702777777777</v>
      </c>
      <c r="J1239" s="2" t="s">
        <v>3777</v>
      </c>
    </row>
    <row r="1240" spans="1:10" ht="135" x14ac:dyDescent="0.25">
      <c r="A1240" s="2" t="s">
        <v>66</v>
      </c>
      <c r="B1240" s="2" t="s">
        <v>2461</v>
      </c>
      <c r="C1240" s="2" t="s">
        <v>2462</v>
      </c>
      <c r="D1240" s="2" t="s">
        <v>2460</v>
      </c>
      <c r="E1240" s="2" t="s">
        <v>69</v>
      </c>
      <c r="F1240" s="3">
        <v>43545</v>
      </c>
      <c r="G1240" s="2" t="str">
        <f>"9780253040671"</f>
        <v>9780253040671</v>
      </c>
      <c r="H1240" s="2" t="s">
        <v>14</v>
      </c>
      <c r="I1240" s="4">
        <v>43883.613194444442</v>
      </c>
      <c r="J1240" s="2" t="s">
        <v>2463</v>
      </c>
    </row>
    <row r="1241" spans="1:10" ht="135" x14ac:dyDescent="0.25">
      <c r="A1241" s="2" t="s">
        <v>66</v>
      </c>
      <c r="B1241" s="2">
        <v>901</v>
      </c>
      <c r="C1241" s="2" t="s">
        <v>7982</v>
      </c>
      <c r="D1241" s="2" t="s">
        <v>7981</v>
      </c>
      <c r="E1241" s="2" t="s">
        <v>54</v>
      </c>
      <c r="F1241" s="3">
        <v>43228</v>
      </c>
      <c r="G1241" s="2" t="str">
        <f>"9781503605978"</f>
        <v>9781503605978</v>
      </c>
      <c r="H1241" s="2" t="s">
        <v>14</v>
      </c>
      <c r="I1241" s="4">
        <v>43368.536111111112</v>
      </c>
      <c r="J1241" s="2" t="s">
        <v>7983</v>
      </c>
    </row>
    <row r="1242" spans="1:10" ht="135" x14ac:dyDescent="0.25">
      <c r="A1242" s="2" t="s">
        <v>66</v>
      </c>
      <c r="B1242" s="2">
        <v>907.1</v>
      </c>
      <c r="C1242" s="2" t="s">
        <v>12136</v>
      </c>
      <c r="D1242" s="2" t="s">
        <v>12135</v>
      </c>
      <c r="E1242" s="2" t="s">
        <v>11785</v>
      </c>
      <c r="F1242" s="3">
        <v>41771</v>
      </c>
      <c r="G1242" s="2" t="str">
        <f>"9780472120307"</f>
        <v>9780472120307</v>
      </c>
      <c r="H1242" s="2" t="s">
        <v>14</v>
      </c>
      <c r="I1242" s="4">
        <v>42845.73333333333</v>
      </c>
      <c r="J1242" s="2" t="s">
        <v>12137</v>
      </c>
    </row>
    <row r="1243" spans="1:10" ht="135" x14ac:dyDescent="0.25">
      <c r="A1243" s="2" t="s">
        <v>66</v>
      </c>
      <c r="B1243" s="2" t="s">
        <v>7897</v>
      </c>
      <c r="C1243" s="2" t="s">
        <v>7898</v>
      </c>
      <c r="D1243" s="2" t="s">
        <v>7896</v>
      </c>
      <c r="E1243" s="2" t="s">
        <v>1257</v>
      </c>
      <c r="F1243" s="3">
        <v>32690</v>
      </c>
      <c r="G1243" s="2" t="str">
        <f>"9781613747360"</f>
        <v>9781613747360</v>
      </c>
      <c r="H1243" s="2" t="s">
        <v>14</v>
      </c>
      <c r="I1243" s="4">
        <v>43379.697222222225</v>
      </c>
      <c r="J1243" s="2" t="s">
        <v>7899</v>
      </c>
    </row>
    <row r="1244" spans="1:10" ht="135" x14ac:dyDescent="0.25">
      <c r="A1244" s="2" t="s">
        <v>66</v>
      </c>
      <c r="B1244" s="2">
        <v>909.09820999999999</v>
      </c>
      <c r="C1244" s="2" t="s">
        <v>12395</v>
      </c>
      <c r="D1244" s="2" t="s">
        <v>12394</v>
      </c>
      <c r="E1244" s="2" t="s">
        <v>1869</v>
      </c>
      <c r="F1244" s="3">
        <v>40498</v>
      </c>
      <c r="G1244" s="2" t="str">
        <f>"9781442206991"</f>
        <v>9781442206991</v>
      </c>
      <c r="H1244" s="2" t="s">
        <v>14</v>
      </c>
      <c r="I1244" s="4">
        <v>42811.493750000001</v>
      </c>
      <c r="J1244" s="2" t="s">
        <v>12396</v>
      </c>
    </row>
    <row r="1245" spans="1:10" ht="225" x14ac:dyDescent="0.25">
      <c r="A1245" s="2" t="s">
        <v>66</v>
      </c>
      <c r="B1245" s="2">
        <v>917.47303999999997</v>
      </c>
      <c r="C1245" s="2" t="s">
        <v>6089</v>
      </c>
      <c r="D1245" s="2" t="s">
        <v>6088</v>
      </c>
      <c r="E1245" s="2" t="s">
        <v>216</v>
      </c>
      <c r="F1245" s="3">
        <v>43525</v>
      </c>
      <c r="G1245" s="2" t="str">
        <f>"9781438473291"</f>
        <v>9781438473291</v>
      </c>
      <c r="H1245" s="2" t="s">
        <v>14</v>
      </c>
      <c r="I1245" s="4">
        <v>43542.571527777778</v>
      </c>
      <c r="J1245" s="2" t="s">
        <v>6090</v>
      </c>
    </row>
    <row r="1246" spans="1:10" ht="135" x14ac:dyDescent="0.25">
      <c r="A1246" s="2" t="s">
        <v>66</v>
      </c>
      <c r="B1246" s="2">
        <v>909.827</v>
      </c>
      <c r="C1246" s="2" t="s">
        <v>2869</v>
      </c>
      <c r="D1246" s="2" t="s">
        <v>2867</v>
      </c>
      <c r="E1246" s="2" t="s">
        <v>2868</v>
      </c>
      <c r="F1246" s="3">
        <v>43525</v>
      </c>
      <c r="G1246" s="2" t="str">
        <f>"9781742244440"</f>
        <v>9781742244440</v>
      </c>
      <c r="H1246" s="2" t="s">
        <v>14</v>
      </c>
      <c r="I1246" s="4">
        <v>43847.693749999999</v>
      </c>
      <c r="J1246" s="2" t="s">
        <v>2870</v>
      </c>
    </row>
    <row r="1247" spans="1:10" ht="135" x14ac:dyDescent="0.25">
      <c r="A1247" s="2" t="s">
        <v>3545</v>
      </c>
      <c r="B1247" s="2" t="s">
        <v>3546</v>
      </c>
      <c r="C1247" s="2" t="s">
        <v>3547</v>
      </c>
      <c r="D1247" s="2" t="s">
        <v>3544</v>
      </c>
      <c r="E1247" s="2" t="s">
        <v>11</v>
      </c>
      <c r="F1247" s="3">
        <v>43175</v>
      </c>
      <c r="G1247" s="2" t="str">
        <f>"9780813230023"</f>
        <v>9780813230023</v>
      </c>
      <c r="H1247" s="2" t="s">
        <v>14</v>
      </c>
      <c r="I1247" s="4">
        <v>43776.686111111114</v>
      </c>
      <c r="J1247" s="2" t="s">
        <v>3548</v>
      </c>
    </row>
    <row r="1248" spans="1:10" ht="135" x14ac:dyDescent="0.25">
      <c r="A1248" s="2" t="s">
        <v>8139</v>
      </c>
      <c r="B1248" s="2">
        <v>79.676199999999994</v>
      </c>
      <c r="C1248" s="2" t="s">
        <v>20</v>
      </c>
      <c r="D1248" s="2" t="s">
        <v>8138</v>
      </c>
      <c r="E1248" s="2" t="s">
        <v>37</v>
      </c>
      <c r="F1248" s="3">
        <v>42790</v>
      </c>
      <c r="G1248" s="2" t="str">
        <f>"9783319490977"</f>
        <v>9783319490977</v>
      </c>
      <c r="H1248" s="2" t="s">
        <v>14</v>
      </c>
      <c r="I1248" s="4">
        <v>43348.349305555559</v>
      </c>
      <c r="J1248" s="2" t="s">
        <v>8140</v>
      </c>
    </row>
    <row r="1249" spans="1:10" ht="135" x14ac:dyDescent="0.25">
      <c r="A1249" s="2" t="s">
        <v>3245</v>
      </c>
      <c r="B1249" s="2">
        <v>346.94043199999902</v>
      </c>
      <c r="C1249" s="2" t="s">
        <v>7408</v>
      </c>
      <c r="D1249" s="2" t="s">
        <v>7406</v>
      </c>
      <c r="E1249" s="2" t="s">
        <v>7407</v>
      </c>
      <c r="F1249" s="3">
        <v>39142</v>
      </c>
      <c r="G1249" s="2" t="str">
        <f>"9781742230221"</f>
        <v>9781742230221</v>
      </c>
      <c r="H1249" s="2" t="s">
        <v>14</v>
      </c>
      <c r="I1249" s="4">
        <v>43418.449305555558</v>
      </c>
      <c r="J1249" s="2" t="s">
        <v>7409</v>
      </c>
    </row>
    <row r="1250" spans="1:10" ht="135" x14ac:dyDescent="0.25">
      <c r="A1250" s="2" t="s">
        <v>3245</v>
      </c>
      <c r="B1250" s="2">
        <v>973.31299999999999</v>
      </c>
      <c r="C1250" s="2" t="s">
        <v>3246</v>
      </c>
      <c r="D1250" s="2" t="s">
        <v>3244</v>
      </c>
      <c r="E1250" s="2" t="s">
        <v>622</v>
      </c>
      <c r="F1250" s="3">
        <v>43586</v>
      </c>
      <c r="G1250" s="2" t="str">
        <f>"9780826274274"</f>
        <v>9780826274274</v>
      </c>
      <c r="H1250" s="2" t="s">
        <v>14</v>
      </c>
      <c r="I1250" s="4">
        <v>43796.447916666664</v>
      </c>
      <c r="J1250" s="2" t="s">
        <v>3247</v>
      </c>
    </row>
    <row r="1251" spans="1:10" ht="135" x14ac:dyDescent="0.25">
      <c r="A1251" s="2" t="s">
        <v>18</v>
      </c>
      <c r="B1251" s="2">
        <v>27.001000000000001</v>
      </c>
      <c r="C1251" s="2" t="s">
        <v>541</v>
      </c>
      <c r="D1251" s="2" t="s">
        <v>540</v>
      </c>
      <c r="E1251" s="2" t="s">
        <v>73</v>
      </c>
      <c r="F1251" s="3">
        <v>43676</v>
      </c>
      <c r="G1251" s="2" t="str">
        <f>"9781452961842"</f>
        <v>9781452961842</v>
      </c>
      <c r="H1251" s="2" t="s">
        <v>14</v>
      </c>
      <c r="I1251" s="4">
        <v>44015.586805555555</v>
      </c>
      <c r="J1251" s="2" t="s">
        <v>542</v>
      </c>
    </row>
    <row r="1252" spans="1:10" ht="135" x14ac:dyDescent="0.25">
      <c r="A1252" s="2" t="s">
        <v>18</v>
      </c>
      <c r="B1252" s="2">
        <v>27</v>
      </c>
      <c r="C1252" s="2" t="s">
        <v>10090</v>
      </c>
      <c r="D1252" s="2" t="s">
        <v>10089</v>
      </c>
      <c r="E1252" s="2" t="s">
        <v>73</v>
      </c>
      <c r="F1252" s="3">
        <v>42736</v>
      </c>
      <c r="G1252" s="2" t="str">
        <f>"9781452951935"</f>
        <v>9781452951935</v>
      </c>
      <c r="H1252" s="2" t="s">
        <v>14</v>
      </c>
      <c r="I1252" s="4">
        <v>43104.535416666666</v>
      </c>
      <c r="J1252" s="2" t="s">
        <v>10091</v>
      </c>
    </row>
    <row r="1253" spans="1:10" ht="135" x14ac:dyDescent="0.25">
      <c r="A1253" s="2" t="s">
        <v>18</v>
      </c>
      <c r="B1253" s="2" t="s">
        <v>19</v>
      </c>
      <c r="C1253" s="2" t="s">
        <v>20</v>
      </c>
      <c r="D1253" s="2" t="s">
        <v>16</v>
      </c>
      <c r="E1253" s="2" t="s">
        <v>17</v>
      </c>
      <c r="F1253" s="3">
        <v>42559</v>
      </c>
      <c r="G1253" s="2" t="str">
        <f>"9781137550835"</f>
        <v>9781137550835</v>
      </c>
      <c r="H1253" s="2" t="s">
        <v>14</v>
      </c>
      <c r="I1253" s="4">
        <v>44076.365277777775</v>
      </c>
      <c r="J1253" s="2" t="s">
        <v>21</v>
      </c>
    </row>
    <row r="1254" spans="1:10" ht="135" x14ac:dyDescent="0.25">
      <c r="A1254" s="2" t="s">
        <v>1386</v>
      </c>
      <c r="B1254" s="2" t="s">
        <v>6106</v>
      </c>
      <c r="C1254" s="2" t="s">
        <v>278</v>
      </c>
      <c r="D1254" s="2" t="s">
        <v>6105</v>
      </c>
      <c r="E1254" s="2" t="s">
        <v>260</v>
      </c>
      <c r="F1254" s="3">
        <v>43293</v>
      </c>
      <c r="G1254" s="2" t="str">
        <f>"9781439916131"</f>
        <v>9781439916131</v>
      </c>
      <c r="H1254" s="2" t="s">
        <v>14</v>
      </c>
      <c r="I1254" s="4">
        <v>43539.839583333334</v>
      </c>
      <c r="J1254" s="2" t="s">
        <v>6107</v>
      </c>
    </row>
    <row r="1255" spans="1:10" ht="135" x14ac:dyDescent="0.25">
      <c r="A1255" s="2" t="s">
        <v>1386</v>
      </c>
      <c r="D1255" s="2" t="s">
        <v>1385</v>
      </c>
      <c r="E1255" s="2" t="s">
        <v>397</v>
      </c>
      <c r="F1255" s="3">
        <v>43921</v>
      </c>
      <c r="G1255" s="2" t="str">
        <f>"9780822987369"</f>
        <v>9780822987369</v>
      </c>
      <c r="H1255" s="2" t="s">
        <v>14</v>
      </c>
      <c r="I1255" s="4">
        <v>43945.647916666669</v>
      </c>
      <c r="J1255" s="2" t="s">
        <v>1387</v>
      </c>
    </row>
    <row r="1256" spans="1:10" ht="135" x14ac:dyDescent="0.25">
      <c r="A1256" s="2" t="s">
        <v>1386</v>
      </c>
      <c r="D1256" s="2" t="s">
        <v>3037</v>
      </c>
      <c r="E1256" s="2" t="s">
        <v>69</v>
      </c>
      <c r="F1256" s="3">
        <v>43602</v>
      </c>
      <c r="G1256" s="2" t="str">
        <f>"9780253042095"</f>
        <v>9780253042095</v>
      </c>
      <c r="H1256" s="2" t="s">
        <v>14</v>
      </c>
      <c r="I1256" s="4">
        <v>43827.629861111112</v>
      </c>
      <c r="J1256" s="2" t="s">
        <v>3038</v>
      </c>
    </row>
    <row r="1257" spans="1:10" ht="135" x14ac:dyDescent="0.25">
      <c r="A1257" s="2" t="s">
        <v>1386</v>
      </c>
      <c r="B1257" s="2">
        <v>938.00720200000001</v>
      </c>
      <c r="C1257" s="2" t="s">
        <v>4089</v>
      </c>
      <c r="D1257" s="2" t="s">
        <v>4088</v>
      </c>
      <c r="E1257" s="2" t="s">
        <v>526</v>
      </c>
      <c r="F1257" s="3">
        <v>43661</v>
      </c>
      <c r="G1257" s="2" t="str">
        <f>"9781477318331"</f>
        <v>9781477318331</v>
      </c>
      <c r="H1257" s="2" t="s">
        <v>14</v>
      </c>
      <c r="I1257" s="4">
        <v>43713.574305555558</v>
      </c>
      <c r="J1257" s="2" t="s">
        <v>4090</v>
      </c>
    </row>
    <row r="1258" spans="1:10" ht="135" x14ac:dyDescent="0.25">
      <c r="A1258" s="2" t="s">
        <v>1386</v>
      </c>
      <c r="B1258" s="2">
        <v>810.80897000000004</v>
      </c>
      <c r="C1258" s="2" t="s">
        <v>3881</v>
      </c>
      <c r="D1258" s="2" t="s">
        <v>3880</v>
      </c>
      <c r="E1258" s="2" t="s">
        <v>46</v>
      </c>
      <c r="F1258" s="3">
        <v>43678</v>
      </c>
      <c r="G1258" s="2" t="str">
        <f>"9781496213563"</f>
        <v>9781496213563</v>
      </c>
      <c r="H1258" s="2" t="s">
        <v>14</v>
      </c>
      <c r="I1258" s="4">
        <v>43745.609027777777</v>
      </c>
      <c r="J1258" s="2" t="s">
        <v>3882</v>
      </c>
    </row>
    <row r="1259" spans="1:10" ht="135" x14ac:dyDescent="0.25">
      <c r="A1259" s="2" t="s">
        <v>1386</v>
      </c>
      <c r="B1259" s="2">
        <v>941.5</v>
      </c>
      <c r="C1259" s="2" t="s">
        <v>6004</v>
      </c>
      <c r="D1259" s="2" t="s">
        <v>6003</v>
      </c>
      <c r="E1259" s="2" t="s">
        <v>310</v>
      </c>
      <c r="F1259" s="3">
        <v>41775</v>
      </c>
      <c r="G1259" s="2" t="str">
        <f>"9780815652656"</f>
        <v>9780815652656</v>
      </c>
      <c r="H1259" s="2" t="s">
        <v>14</v>
      </c>
      <c r="I1259" s="4">
        <v>43550.603472222225</v>
      </c>
      <c r="J1259" s="2" t="s">
        <v>6005</v>
      </c>
    </row>
    <row r="1260" spans="1:10" ht="135" x14ac:dyDescent="0.25">
      <c r="A1260" s="2" t="s">
        <v>1386</v>
      </c>
      <c r="D1260" s="2" t="s">
        <v>1447</v>
      </c>
      <c r="E1260" s="2" t="s">
        <v>69</v>
      </c>
      <c r="F1260" s="3">
        <v>43900</v>
      </c>
      <c r="G1260" s="2" t="str">
        <f>"9780253046963"</f>
        <v>9780253046963</v>
      </c>
      <c r="H1260" s="2" t="s">
        <v>14</v>
      </c>
      <c r="I1260" s="4">
        <v>43942.895833333336</v>
      </c>
      <c r="J1260" s="2" t="s">
        <v>1448</v>
      </c>
    </row>
    <row r="1261" spans="1:10" ht="135" x14ac:dyDescent="0.25">
      <c r="A1261" s="2" t="s">
        <v>11209</v>
      </c>
      <c r="B1261" s="2">
        <v>616.85212009410895</v>
      </c>
      <c r="C1261" s="2" t="s">
        <v>20</v>
      </c>
      <c r="D1261" s="2" t="s">
        <v>11208</v>
      </c>
      <c r="E1261" s="2" t="s">
        <v>37</v>
      </c>
      <c r="F1261" s="3">
        <v>42698</v>
      </c>
      <c r="G1261" s="2" t="str">
        <f>"9783319334769"</f>
        <v>9783319334769</v>
      </c>
      <c r="H1261" s="2" t="s">
        <v>14</v>
      </c>
      <c r="I1261" s="4">
        <v>43006.662499999999</v>
      </c>
      <c r="J1261" s="2" t="s">
        <v>11210</v>
      </c>
    </row>
    <row r="1262" spans="1:10" ht="135" x14ac:dyDescent="0.25">
      <c r="A1262" s="2" t="s">
        <v>5144</v>
      </c>
      <c r="B1262" s="2">
        <v>355.26097309044002</v>
      </c>
      <c r="C1262" s="2" t="s">
        <v>7197</v>
      </c>
      <c r="D1262" s="2" t="s">
        <v>7196</v>
      </c>
      <c r="E1262" s="2" t="s">
        <v>4010</v>
      </c>
      <c r="F1262" s="3">
        <v>42585</v>
      </c>
      <c r="G1262" s="2" t="str">
        <f>"9780812293548"</f>
        <v>9780812293548</v>
      </c>
      <c r="H1262" s="2" t="s">
        <v>14</v>
      </c>
      <c r="I1262" s="4">
        <v>43435.522222222222</v>
      </c>
      <c r="J1262" s="2" t="s">
        <v>7198</v>
      </c>
    </row>
    <row r="1263" spans="1:10" ht="165" x14ac:dyDescent="0.25">
      <c r="A1263" s="2" t="s">
        <v>5144</v>
      </c>
      <c r="B1263" s="2" t="s">
        <v>12111</v>
      </c>
      <c r="C1263" s="2" t="s">
        <v>12112</v>
      </c>
      <c r="D1263" s="2" t="s">
        <v>12110</v>
      </c>
      <c r="E1263" s="2" t="s">
        <v>322</v>
      </c>
      <c r="F1263" s="3">
        <v>42019</v>
      </c>
      <c r="G1263" s="2" t="str">
        <f>"9780820347783"</f>
        <v>9780820347783</v>
      </c>
      <c r="H1263" s="2" t="s">
        <v>14</v>
      </c>
      <c r="I1263" s="4">
        <v>42850.584722222222</v>
      </c>
      <c r="J1263" s="2" t="s">
        <v>12113</v>
      </c>
    </row>
    <row r="1264" spans="1:10" ht="150" x14ac:dyDescent="0.25">
      <c r="A1264" s="2" t="s">
        <v>5144</v>
      </c>
      <c r="B1264" s="2" t="s">
        <v>5145</v>
      </c>
      <c r="C1264" s="2" t="s">
        <v>5146</v>
      </c>
      <c r="D1264" s="2" t="s">
        <v>5143</v>
      </c>
      <c r="E1264" s="2" t="s">
        <v>69</v>
      </c>
      <c r="F1264" s="3">
        <v>41955</v>
      </c>
      <c r="G1264" s="2" t="str">
        <f>"9780253014290"</f>
        <v>9780253014290</v>
      </c>
      <c r="H1264" s="2" t="s">
        <v>14</v>
      </c>
      <c r="I1264" s="4">
        <v>43609.796527777777</v>
      </c>
      <c r="J1264" s="2" t="s">
        <v>5147</v>
      </c>
    </row>
    <row r="1265" spans="1:10" ht="135" x14ac:dyDescent="0.25">
      <c r="A1265" s="2" t="s">
        <v>5144</v>
      </c>
      <c r="B1265" s="2">
        <v>966.03200000000004</v>
      </c>
      <c r="C1265" s="2" t="s">
        <v>8279</v>
      </c>
      <c r="D1265" s="2" t="s">
        <v>8278</v>
      </c>
      <c r="E1265" s="2" t="s">
        <v>50</v>
      </c>
      <c r="F1265" s="3">
        <v>42736</v>
      </c>
      <c r="G1265" s="2" t="str">
        <f>"9780803299511"</f>
        <v>9780803299511</v>
      </c>
      <c r="H1265" s="2" t="s">
        <v>14</v>
      </c>
      <c r="I1265" s="4">
        <v>43326.645138888889</v>
      </c>
      <c r="J1265" s="2" t="s">
        <v>8280</v>
      </c>
    </row>
    <row r="1266" spans="1:10" ht="135" x14ac:dyDescent="0.25">
      <c r="A1266" s="2" t="s">
        <v>5144</v>
      </c>
      <c r="B1266" s="2">
        <v>941</v>
      </c>
      <c r="C1266" s="2" t="s">
        <v>5193</v>
      </c>
      <c r="D1266" s="2" t="s">
        <v>5192</v>
      </c>
      <c r="E1266" s="2" t="s">
        <v>4896</v>
      </c>
      <c r="F1266" s="3">
        <v>41444</v>
      </c>
      <c r="G1266" s="2" t="str">
        <f>"9781910294345"</f>
        <v>9781910294345</v>
      </c>
      <c r="H1266" s="2" t="s">
        <v>14</v>
      </c>
      <c r="I1266" s="4">
        <v>43608.82916666667</v>
      </c>
      <c r="J1266" s="2" t="s">
        <v>5194</v>
      </c>
    </row>
    <row r="1267" spans="1:10" ht="135" x14ac:dyDescent="0.25">
      <c r="A1267" s="2" t="s">
        <v>5144</v>
      </c>
      <c r="B1267" s="2" t="s">
        <v>7479</v>
      </c>
      <c r="C1267" s="2" t="s">
        <v>7480</v>
      </c>
      <c r="D1267" s="2" t="s">
        <v>7478</v>
      </c>
      <c r="E1267" s="2" t="s">
        <v>531</v>
      </c>
      <c r="F1267" s="3">
        <v>42251</v>
      </c>
      <c r="G1267" s="2" t="str">
        <f>"9780809334315"</f>
        <v>9780809334315</v>
      </c>
      <c r="H1267" s="2" t="s">
        <v>14</v>
      </c>
      <c r="I1267" s="4">
        <v>43413.726388888892</v>
      </c>
      <c r="J1267" s="2" t="s">
        <v>7481</v>
      </c>
    </row>
    <row r="1268" spans="1:10" ht="135" x14ac:dyDescent="0.25">
      <c r="A1268" s="2" t="s">
        <v>10657</v>
      </c>
      <c r="B1268" s="2" t="s">
        <v>10658</v>
      </c>
      <c r="C1268" s="2" t="s">
        <v>10659</v>
      </c>
      <c r="D1268" s="2" t="s">
        <v>10656</v>
      </c>
      <c r="E1268" s="2" t="s">
        <v>156</v>
      </c>
      <c r="F1268" s="3">
        <v>42675</v>
      </c>
      <c r="G1268" s="2" t="str">
        <f>"9781469629520"</f>
        <v>9781469629520</v>
      </c>
      <c r="H1268" s="2" t="s">
        <v>14</v>
      </c>
      <c r="I1268" s="4">
        <v>43043.776388888888</v>
      </c>
      <c r="J1268" s="2" t="s">
        <v>10660</v>
      </c>
    </row>
    <row r="1269" spans="1:10" ht="135" x14ac:dyDescent="0.25">
      <c r="A1269" s="2" t="s">
        <v>2282</v>
      </c>
      <c r="D1269" s="2" t="s">
        <v>2281</v>
      </c>
      <c r="E1269" s="2" t="s">
        <v>54</v>
      </c>
      <c r="F1269" s="3">
        <v>43494</v>
      </c>
      <c r="G1269" s="2" t="str">
        <f>"9781503607767"</f>
        <v>9781503607767</v>
      </c>
      <c r="H1269" s="2" t="s">
        <v>14</v>
      </c>
      <c r="I1269" s="4">
        <v>43895.939583333333</v>
      </c>
      <c r="J1269" s="2" t="s">
        <v>2283</v>
      </c>
    </row>
    <row r="1270" spans="1:10" ht="135" x14ac:dyDescent="0.25">
      <c r="A1270" s="2" t="s">
        <v>2282</v>
      </c>
      <c r="B1270" s="2">
        <v>955.05</v>
      </c>
      <c r="C1270" s="2" t="s">
        <v>12826</v>
      </c>
      <c r="D1270" s="2" t="s">
        <v>12825</v>
      </c>
      <c r="E1270" s="2" t="s">
        <v>73</v>
      </c>
      <c r="F1270" s="3">
        <v>42590</v>
      </c>
      <c r="G1270" s="2" t="str">
        <f>"9781452950556"</f>
        <v>9781452950556</v>
      </c>
      <c r="H1270" s="2" t="s">
        <v>14</v>
      </c>
      <c r="I1270" s="4">
        <v>42771.640277777777</v>
      </c>
      <c r="J1270" s="2" t="s">
        <v>12827</v>
      </c>
    </row>
    <row r="1271" spans="1:10" ht="135" x14ac:dyDescent="0.25">
      <c r="A1271" s="2" t="s">
        <v>2282</v>
      </c>
      <c r="B1271" s="2">
        <v>199.6</v>
      </c>
      <c r="C1271" s="2" t="s">
        <v>8010</v>
      </c>
      <c r="D1271" s="2" t="s">
        <v>8009</v>
      </c>
      <c r="E1271" s="2" t="s">
        <v>328</v>
      </c>
      <c r="F1271" s="3">
        <v>41849</v>
      </c>
      <c r="G1271" s="2" t="str">
        <f>"9780739180495"</f>
        <v>9780739180495</v>
      </c>
      <c r="H1271" s="2" t="s">
        <v>14</v>
      </c>
      <c r="I1271" s="4">
        <v>43364.461805555555</v>
      </c>
      <c r="J1271" s="2" t="s">
        <v>8011</v>
      </c>
    </row>
    <row r="1272" spans="1:10" ht="135" x14ac:dyDescent="0.25">
      <c r="A1272" s="2" t="s">
        <v>675</v>
      </c>
      <c r="D1272" s="2" t="s">
        <v>673</v>
      </c>
      <c r="E1272" s="2" t="s">
        <v>674</v>
      </c>
      <c r="F1272" s="3">
        <v>43956</v>
      </c>
      <c r="G1272" s="2" t="str">
        <f>"9780823287901"</f>
        <v>9780823287901</v>
      </c>
      <c r="H1272" s="2" t="s">
        <v>14</v>
      </c>
      <c r="I1272" s="4">
        <v>44000.732638888891</v>
      </c>
      <c r="J1272" s="2" t="s">
        <v>676</v>
      </c>
    </row>
    <row r="1273" spans="1:10" ht="165" x14ac:dyDescent="0.25">
      <c r="A1273" s="2" t="s">
        <v>417</v>
      </c>
      <c r="B1273" s="2">
        <v>327.73050999999998</v>
      </c>
      <c r="C1273" s="2" t="s">
        <v>3947</v>
      </c>
      <c r="D1273" s="2" t="s">
        <v>3946</v>
      </c>
      <c r="E1273" s="2" t="s">
        <v>268</v>
      </c>
      <c r="F1273" s="3">
        <v>42885</v>
      </c>
      <c r="G1273" s="2" t="str">
        <f>"9780815731306"</f>
        <v>9780815731306</v>
      </c>
      <c r="H1273" s="2" t="s">
        <v>14</v>
      </c>
      <c r="I1273" s="4">
        <v>43735.693055555559</v>
      </c>
      <c r="J1273" s="2" t="s">
        <v>3948</v>
      </c>
    </row>
    <row r="1274" spans="1:10" ht="135" x14ac:dyDescent="0.25">
      <c r="A1274" s="2" t="s">
        <v>417</v>
      </c>
      <c r="B1274" s="2" t="s">
        <v>9680</v>
      </c>
      <c r="C1274" s="2" t="s">
        <v>9681</v>
      </c>
      <c r="D1274" s="2" t="s">
        <v>9679</v>
      </c>
      <c r="E1274" s="2" t="s">
        <v>54</v>
      </c>
      <c r="F1274" s="3">
        <v>41766</v>
      </c>
      <c r="G1274" s="2" t="str">
        <f>"9780804791175"</f>
        <v>9780804791175</v>
      </c>
      <c r="H1274" s="2" t="s">
        <v>14</v>
      </c>
      <c r="I1274" s="4">
        <v>43138.363888888889</v>
      </c>
      <c r="J1274" s="2" t="s">
        <v>9682</v>
      </c>
    </row>
    <row r="1275" spans="1:10" ht="135" x14ac:dyDescent="0.25">
      <c r="A1275" s="2" t="s">
        <v>417</v>
      </c>
      <c r="B1275" s="2">
        <v>321.07089999999999</v>
      </c>
      <c r="C1275" s="2" t="s">
        <v>20</v>
      </c>
      <c r="D1275" s="2" t="s">
        <v>8141</v>
      </c>
      <c r="E1275" s="2" t="s">
        <v>37</v>
      </c>
      <c r="F1275" s="3">
        <v>43000</v>
      </c>
      <c r="G1275" s="2" t="str">
        <f>"9783319622323"</f>
        <v>9783319622323</v>
      </c>
      <c r="H1275" s="2" t="s">
        <v>14</v>
      </c>
      <c r="I1275" s="4">
        <v>43348.324305555558</v>
      </c>
      <c r="J1275" s="2" t="s">
        <v>8142</v>
      </c>
    </row>
    <row r="1276" spans="1:10" ht="150" x14ac:dyDescent="0.25">
      <c r="A1276" s="2" t="s">
        <v>417</v>
      </c>
      <c r="B1276" s="2">
        <v>326.80973</v>
      </c>
      <c r="C1276" s="2" t="s">
        <v>5560</v>
      </c>
      <c r="D1276" s="2" t="s">
        <v>5559</v>
      </c>
      <c r="E1276" s="2" t="s">
        <v>28</v>
      </c>
      <c r="F1276" s="3">
        <v>43574</v>
      </c>
      <c r="G1276" s="2" t="str">
        <f>"9780813942308"</f>
        <v>9780813942308</v>
      </c>
      <c r="H1276" s="2" t="s">
        <v>14</v>
      </c>
      <c r="I1276" s="4">
        <v>43588.98541666667</v>
      </c>
      <c r="J1276" s="2" t="s">
        <v>5561</v>
      </c>
    </row>
    <row r="1277" spans="1:10" ht="135" x14ac:dyDescent="0.25">
      <c r="A1277" s="2" t="s">
        <v>417</v>
      </c>
      <c r="B1277" s="2" t="s">
        <v>5097</v>
      </c>
      <c r="C1277" s="2" t="s">
        <v>5098</v>
      </c>
      <c r="D1277" s="2" t="s">
        <v>5096</v>
      </c>
      <c r="E1277" s="2" t="s">
        <v>156</v>
      </c>
      <c r="F1277" s="3">
        <v>42051</v>
      </c>
      <c r="G1277" s="2" t="str">
        <f>"9781469623139"</f>
        <v>9781469623139</v>
      </c>
      <c r="H1277" s="2" t="s">
        <v>14</v>
      </c>
      <c r="I1277" s="4">
        <v>43610.914583333331</v>
      </c>
      <c r="J1277" s="2" t="s">
        <v>5099</v>
      </c>
    </row>
    <row r="1278" spans="1:10" ht="135" x14ac:dyDescent="0.25">
      <c r="A1278" s="2" t="s">
        <v>417</v>
      </c>
      <c r="B1278" s="2">
        <v>320.54095694</v>
      </c>
      <c r="C1278" s="2" t="s">
        <v>2210</v>
      </c>
      <c r="D1278" s="2" t="s">
        <v>2209</v>
      </c>
      <c r="E1278" s="2" t="s">
        <v>69</v>
      </c>
      <c r="F1278" s="3">
        <v>43474</v>
      </c>
      <c r="G1278" s="2" t="str">
        <f>"9780253038722"</f>
        <v>9780253038722</v>
      </c>
      <c r="H1278" s="2" t="s">
        <v>14</v>
      </c>
      <c r="I1278" s="4">
        <v>43901.72152777778</v>
      </c>
      <c r="J1278" s="2" t="s">
        <v>2211</v>
      </c>
    </row>
    <row r="1279" spans="1:10" ht="135" x14ac:dyDescent="0.25">
      <c r="A1279" s="2" t="s">
        <v>417</v>
      </c>
      <c r="B1279" s="2">
        <v>323.09730000000002</v>
      </c>
      <c r="C1279" s="2" t="s">
        <v>7072</v>
      </c>
      <c r="D1279" s="2" t="s">
        <v>7071</v>
      </c>
      <c r="E1279" s="2" t="s">
        <v>54</v>
      </c>
      <c r="F1279" s="3">
        <v>43424</v>
      </c>
      <c r="G1279" s="2" t="str">
        <f>"9781503607392"</f>
        <v>9781503607392</v>
      </c>
      <c r="H1279" s="2" t="s">
        <v>14</v>
      </c>
      <c r="I1279" s="4">
        <v>43453.460416666669</v>
      </c>
      <c r="J1279" s="2" t="s">
        <v>7073</v>
      </c>
    </row>
    <row r="1280" spans="1:10" ht="165" x14ac:dyDescent="0.25">
      <c r="A1280" s="2" t="s">
        <v>417</v>
      </c>
      <c r="B1280" s="2">
        <v>323.09199999999998</v>
      </c>
      <c r="C1280" s="2" t="s">
        <v>1369</v>
      </c>
      <c r="D1280" s="2" t="s">
        <v>8230</v>
      </c>
      <c r="E1280" s="2" t="s">
        <v>578</v>
      </c>
      <c r="F1280" s="3">
        <v>41543</v>
      </c>
      <c r="G1280" s="2" t="str">
        <f>"9780252095184"</f>
        <v>9780252095184</v>
      </c>
      <c r="H1280" s="2" t="s">
        <v>14</v>
      </c>
      <c r="I1280" s="4">
        <v>43334.574305555558</v>
      </c>
      <c r="J1280" s="2" t="s">
        <v>8231</v>
      </c>
    </row>
    <row r="1281" spans="1:10" ht="135" x14ac:dyDescent="0.25">
      <c r="A1281" s="2" t="s">
        <v>417</v>
      </c>
      <c r="B1281" s="2">
        <v>323.11970000000002</v>
      </c>
      <c r="C1281" s="2" t="s">
        <v>3381</v>
      </c>
      <c r="D1281" s="2" t="s">
        <v>3380</v>
      </c>
      <c r="E1281" s="2" t="s">
        <v>46</v>
      </c>
      <c r="F1281" s="3">
        <v>42948</v>
      </c>
      <c r="G1281" s="2" t="str">
        <f>"9781496201607"</f>
        <v>9781496201607</v>
      </c>
      <c r="H1281" s="2" t="s">
        <v>14</v>
      </c>
      <c r="I1281" s="4">
        <v>43786.527777777781</v>
      </c>
      <c r="J1281" s="2" t="s">
        <v>3382</v>
      </c>
    </row>
    <row r="1282" spans="1:10" ht="150" x14ac:dyDescent="0.25">
      <c r="A1282" s="2" t="s">
        <v>417</v>
      </c>
      <c r="B1282" s="2">
        <v>327.73081000000002</v>
      </c>
      <c r="C1282" s="2" t="s">
        <v>10490</v>
      </c>
      <c r="D1282" s="2" t="s">
        <v>10489</v>
      </c>
      <c r="E1282" s="2" t="s">
        <v>328</v>
      </c>
      <c r="F1282" s="3">
        <v>41120</v>
      </c>
      <c r="G1282" s="2" t="str">
        <f>"9780739173299"</f>
        <v>9780739173299</v>
      </c>
      <c r="H1282" s="2" t="s">
        <v>14</v>
      </c>
      <c r="I1282" s="4">
        <v>43054.636111111111</v>
      </c>
      <c r="J1282" s="2" t="s">
        <v>10491</v>
      </c>
    </row>
    <row r="1283" spans="1:10" ht="210" x14ac:dyDescent="0.25">
      <c r="A1283" s="2" t="s">
        <v>417</v>
      </c>
      <c r="B1283" s="2" t="s">
        <v>4949</v>
      </c>
      <c r="C1283" s="2" t="s">
        <v>20</v>
      </c>
      <c r="D1283" s="2" t="s">
        <v>4948</v>
      </c>
      <c r="E1283" s="2" t="s">
        <v>17</v>
      </c>
      <c r="F1283" s="3">
        <v>42725</v>
      </c>
      <c r="G1283" s="2" t="str">
        <f>"9781137565679"</f>
        <v>9781137565679</v>
      </c>
      <c r="H1283" s="2" t="s">
        <v>14</v>
      </c>
      <c r="I1283" s="4">
        <v>43615.673611111109</v>
      </c>
      <c r="J1283" s="2" t="s">
        <v>4950</v>
      </c>
    </row>
    <row r="1284" spans="1:10" ht="135" x14ac:dyDescent="0.25">
      <c r="A1284" s="2" t="s">
        <v>417</v>
      </c>
      <c r="B1284" s="2">
        <v>327.536</v>
      </c>
      <c r="C1284" s="2" t="s">
        <v>2926</v>
      </c>
      <c r="D1284" s="2" t="s">
        <v>2925</v>
      </c>
      <c r="E1284" s="2" t="s">
        <v>54</v>
      </c>
      <c r="F1284" s="3">
        <v>43123</v>
      </c>
      <c r="G1284" s="2" t="str">
        <f>"9781503604261"</f>
        <v>9781503604261</v>
      </c>
      <c r="H1284" s="2" t="s">
        <v>14</v>
      </c>
      <c r="I1284" s="4">
        <v>43843.504861111112</v>
      </c>
      <c r="J1284" s="2" t="s">
        <v>2927</v>
      </c>
    </row>
    <row r="1285" spans="1:10" ht="135" x14ac:dyDescent="0.25">
      <c r="A1285" s="2" t="s">
        <v>417</v>
      </c>
      <c r="B1285" s="2">
        <v>320.95109051200001</v>
      </c>
      <c r="C1285" s="2" t="s">
        <v>9613</v>
      </c>
      <c r="D1285" s="2" t="s">
        <v>9612</v>
      </c>
      <c r="E1285" s="2" t="s">
        <v>268</v>
      </c>
      <c r="F1285" s="3">
        <v>42661</v>
      </c>
      <c r="G1285" s="2" t="str">
        <f>"9780815726937"</f>
        <v>9780815726937</v>
      </c>
      <c r="H1285" s="2" t="s">
        <v>14</v>
      </c>
      <c r="I1285" s="4">
        <v>43146.421527777777</v>
      </c>
      <c r="J1285" s="2" t="s">
        <v>9614</v>
      </c>
    </row>
    <row r="1286" spans="1:10" ht="180" x14ac:dyDescent="0.25">
      <c r="A1286" s="2" t="s">
        <v>417</v>
      </c>
      <c r="B1286" s="2">
        <v>323.11960729999998</v>
      </c>
      <c r="C1286" s="2" t="s">
        <v>6359</v>
      </c>
      <c r="D1286" s="2" t="s">
        <v>6358</v>
      </c>
      <c r="E1286" s="2" t="s">
        <v>322</v>
      </c>
      <c r="F1286" s="3">
        <v>42429</v>
      </c>
      <c r="G1286" s="2" t="str">
        <f>"9780820349152"</f>
        <v>9780820349152</v>
      </c>
      <c r="H1286" s="2" t="s">
        <v>14</v>
      </c>
      <c r="I1286" s="4">
        <v>43522.589583333334</v>
      </c>
      <c r="J1286" s="2" t="s">
        <v>6360</v>
      </c>
    </row>
    <row r="1287" spans="1:10" ht="135" x14ac:dyDescent="0.25">
      <c r="A1287" s="2" t="s">
        <v>417</v>
      </c>
      <c r="B1287" s="2">
        <v>325.30998199999999</v>
      </c>
      <c r="C1287" s="2" t="s">
        <v>20</v>
      </c>
      <c r="D1287" s="2" t="s">
        <v>6097</v>
      </c>
      <c r="E1287" s="2" t="s">
        <v>37</v>
      </c>
      <c r="F1287" s="3">
        <v>42965</v>
      </c>
      <c r="G1287" s="2" t="str">
        <f>"9783319461588"</f>
        <v>9783319461588</v>
      </c>
      <c r="H1287" s="2" t="s">
        <v>14</v>
      </c>
      <c r="I1287" s="4">
        <v>43541.422222222223</v>
      </c>
      <c r="J1287" s="2" t="s">
        <v>6098</v>
      </c>
    </row>
    <row r="1288" spans="1:10" ht="165" x14ac:dyDescent="0.25">
      <c r="A1288" s="2" t="s">
        <v>417</v>
      </c>
      <c r="B1288" s="2">
        <v>954.1004954</v>
      </c>
      <c r="C1288" s="2" t="s">
        <v>265</v>
      </c>
      <c r="D1288" s="2" t="s">
        <v>4394</v>
      </c>
      <c r="E1288" s="2" t="s">
        <v>37</v>
      </c>
      <c r="F1288" s="3">
        <v>42670</v>
      </c>
      <c r="G1288" s="2" t="str">
        <f>"9783319439341"</f>
        <v>9783319439341</v>
      </c>
      <c r="H1288" s="2" t="s">
        <v>14</v>
      </c>
      <c r="I1288" s="4">
        <v>43674.494444444441</v>
      </c>
      <c r="J1288" s="2" t="s">
        <v>4395</v>
      </c>
    </row>
    <row r="1289" spans="1:10" ht="135" x14ac:dyDescent="0.25">
      <c r="A1289" s="2" t="s">
        <v>417</v>
      </c>
      <c r="B1289" s="2">
        <v>327.410729</v>
      </c>
      <c r="C1289" s="2" t="s">
        <v>9148</v>
      </c>
      <c r="D1289" s="2" t="s">
        <v>9147</v>
      </c>
      <c r="E1289" s="2" t="s">
        <v>41</v>
      </c>
      <c r="F1289" s="3">
        <v>42185</v>
      </c>
      <c r="G1289" s="2" t="str">
        <f>"9780817388041"</f>
        <v>9780817388041</v>
      </c>
      <c r="H1289" s="2" t="s">
        <v>14</v>
      </c>
      <c r="I1289" s="4">
        <v>43210.682638888888</v>
      </c>
      <c r="J1289" s="2" t="s">
        <v>9149</v>
      </c>
    </row>
    <row r="1290" spans="1:10" ht="150" x14ac:dyDescent="0.25">
      <c r="A1290" s="2" t="s">
        <v>417</v>
      </c>
      <c r="B1290" s="2" t="s">
        <v>7523</v>
      </c>
      <c r="C1290" s="2" t="s">
        <v>7524</v>
      </c>
      <c r="D1290" s="2" t="s">
        <v>7522</v>
      </c>
      <c r="E1290" s="2" t="s">
        <v>54</v>
      </c>
      <c r="F1290" s="3">
        <v>42704</v>
      </c>
      <c r="G1290" s="2" t="str">
        <f>"9781503600805"</f>
        <v>9781503600805</v>
      </c>
      <c r="H1290" s="2" t="s">
        <v>14</v>
      </c>
      <c r="I1290" s="4">
        <v>43410.923611111109</v>
      </c>
      <c r="J1290" s="2" t="s">
        <v>7525</v>
      </c>
    </row>
    <row r="1291" spans="1:10" ht="135" x14ac:dyDescent="0.25">
      <c r="A1291" s="2" t="s">
        <v>417</v>
      </c>
      <c r="B1291" s="2">
        <v>327.73054999999999</v>
      </c>
      <c r="C1291" s="2" t="s">
        <v>5760</v>
      </c>
      <c r="D1291" s="2" t="s">
        <v>5759</v>
      </c>
      <c r="E1291" s="2" t="s">
        <v>310</v>
      </c>
      <c r="F1291" s="3">
        <v>42863</v>
      </c>
      <c r="G1291" s="2" t="str">
        <f>"9780815653974"</f>
        <v>9780815653974</v>
      </c>
      <c r="H1291" s="2" t="s">
        <v>14</v>
      </c>
      <c r="I1291" s="4">
        <v>43573.863888888889</v>
      </c>
      <c r="J1291" s="2" t="s">
        <v>5761</v>
      </c>
    </row>
    <row r="1292" spans="1:10" ht="135" x14ac:dyDescent="0.25">
      <c r="A1292" s="2" t="s">
        <v>417</v>
      </c>
      <c r="B1292" s="2">
        <v>327.62061199999999</v>
      </c>
      <c r="C1292" s="2" t="s">
        <v>6166</v>
      </c>
      <c r="D1292" s="2" t="s">
        <v>6165</v>
      </c>
      <c r="E1292" s="2" t="s">
        <v>54</v>
      </c>
      <c r="F1292" s="3">
        <v>43179</v>
      </c>
      <c r="G1292" s="2" t="str">
        <f>"9781503605572"</f>
        <v>9781503605572</v>
      </c>
      <c r="H1292" s="2" t="s">
        <v>14</v>
      </c>
      <c r="I1292" s="4">
        <v>43535.548611111109</v>
      </c>
      <c r="J1292" s="2" t="s">
        <v>6167</v>
      </c>
    </row>
    <row r="1293" spans="1:10" ht="135" x14ac:dyDescent="0.25">
      <c r="A1293" s="2" t="s">
        <v>417</v>
      </c>
      <c r="B1293" s="2" t="s">
        <v>7269</v>
      </c>
      <c r="C1293" s="2" t="s">
        <v>7270</v>
      </c>
      <c r="D1293" s="2" t="s">
        <v>7268</v>
      </c>
      <c r="E1293" s="2" t="s">
        <v>216</v>
      </c>
      <c r="F1293" s="3">
        <v>43405</v>
      </c>
      <c r="G1293" s="2" t="str">
        <f>"9781438471624"</f>
        <v>9781438471624</v>
      </c>
      <c r="H1293" s="2" t="s">
        <v>14</v>
      </c>
      <c r="I1293" s="4">
        <v>43430.554166666669</v>
      </c>
      <c r="J1293" s="2" t="s">
        <v>7271</v>
      </c>
    </row>
    <row r="1294" spans="1:10" ht="150" x14ac:dyDescent="0.25">
      <c r="A1294" s="2" t="s">
        <v>417</v>
      </c>
      <c r="B1294" s="2">
        <v>327.72930729400002</v>
      </c>
      <c r="C1294" s="2" t="s">
        <v>6562</v>
      </c>
      <c r="D1294" s="2" t="s">
        <v>6561</v>
      </c>
      <c r="E1294" s="2" t="s">
        <v>397</v>
      </c>
      <c r="F1294" s="3">
        <v>42416</v>
      </c>
      <c r="G1294" s="2" t="str">
        <f>"9780822981039"</f>
        <v>9780822981039</v>
      </c>
      <c r="H1294" s="2" t="s">
        <v>14</v>
      </c>
      <c r="I1294" s="4">
        <v>43507.720138888886</v>
      </c>
      <c r="J1294" s="2" t="s">
        <v>6563</v>
      </c>
    </row>
    <row r="1295" spans="1:10" ht="135" x14ac:dyDescent="0.25">
      <c r="A1295" s="2" t="s">
        <v>417</v>
      </c>
      <c r="B1295" s="2">
        <v>320.54095999999998</v>
      </c>
      <c r="C1295" s="2" t="s">
        <v>5959</v>
      </c>
      <c r="D1295" s="2" t="s">
        <v>5958</v>
      </c>
      <c r="E1295" s="2" t="s">
        <v>33</v>
      </c>
      <c r="F1295" s="3">
        <v>43399</v>
      </c>
      <c r="G1295" s="2" t="str">
        <f>"9781613766422"</f>
        <v>9781613766422</v>
      </c>
      <c r="H1295" s="2" t="s">
        <v>14</v>
      </c>
      <c r="I1295" s="4">
        <v>43552.874305555553</v>
      </c>
      <c r="J1295" s="2" t="s">
        <v>5960</v>
      </c>
    </row>
    <row r="1296" spans="1:10" ht="135" x14ac:dyDescent="0.25">
      <c r="A1296" s="2" t="s">
        <v>417</v>
      </c>
      <c r="B1296" s="2">
        <v>327.73043809004002</v>
      </c>
      <c r="C1296" s="2" t="s">
        <v>10693</v>
      </c>
      <c r="D1296" s="2" t="s">
        <v>10692</v>
      </c>
      <c r="E1296" s="2" t="s">
        <v>156</v>
      </c>
      <c r="F1296" s="3">
        <v>41918</v>
      </c>
      <c r="G1296" s="2" t="str">
        <f>"9781469618524"</f>
        <v>9781469618524</v>
      </c>
      <c r="H1296" s="2" t="s">
        <v>14</v>
      </c>
      <c r="I1296" s="4">
        <v>43042.611805555556</v>
      </c>
      <c r="J1296" s="2" t="s">
        <v>10694</v>
      </c>
    </row>
    <row r="1297" spans="1:10" ht="135" x14ac:dyDescent="0.25">
      <c r="A1297" s="2" t="s">
        <v>417</v>
      </c>
      <c r="B1297" s="2">
        <v>327.47040903999999</v>
      </c>
      <c r="C1297" s="2" t="s">
        <v>5844</v>
      </c>
      <c r="D1297" s="2" t="s">
        <v>5843</v>
      </c>
      <c r="E1297" s="2" t="s">
        <v>397</v>
      </c>
      <c r="F1297" s="3">
        <v>43410</v>
      </c>
      <c r="G1297" s="2" t="str">
        <f>"9780822986348"</f>
        <v>9780822986348</v>
      </c>
      <c r="H1297" s="2" t="s">
        <v>14</v>
      </c>
      <c r="I1297" s="4">
        <v>43565.70416666667</v>
      </c>
      <c r="J1297" s="2" t="s">
        <v>5845</v>
      </c>
    </row>
    <row r="1298" spans="1:10" ht="135" x14ac:dyDescent="0.25">
      <c r="A1298" s="2" t="s">
        <v>417</v>
      </c>
      <c r="B1298" s="2" t="s">
        <v>11076</v>
      </c>
      <c r="C1298" s="2" t="s">
        <v>11077</v>
      </c>
      <c r="D1298" s="2" t="s">
        <v>11075</v>
      </c>
      <c r="E1298" s="2" t="s">
        <v>8513</v>
      </c>
      <c r="F1298" s="3">
        <v>40637</v>
      </c>
      <c r="G1298" s="2" t="str">
        <f>"9780262295710"</f>
        <v>9780262295710</v>
      </c>
      <c r="H1298" s="2" t="s">
        <v>14</v>
      </c>
      <c r="I1298" s="4">
        <v>43019.577777777777</v>
      </c>
      <c r="J1298" s="2" t="s">
        <v>11078</v>
      </c>
    </row>
    <row r="1299" spans="1:10" ht="135" x14ac:dyDescent="0.25">
      <c r="A1299" s="2" t="s">
        <v>417</v>
      </c>
      <c r="B1299" s="2">
        <v>327.39999999999998</v>
      </c>
      <c r="C1299" s="2" t="s">
        <v>12368</v>
      </c>
      <c r="D1299" s="2" t="s">
        <v>12367</v>
      </c>
      <c r="E1299" s="2" t="s">
        <v>674</v>
      </c>
      <c r="F1299" s="3">
        <v>42373</v>
      </c>
      <c r="G1299" s="2" t="str">
        <f>"9780823267200"</f>
        <v>9780823267200</v>
      </c>
      <c r="H1299" s="2" t="s">
        <v>14</v>
      </c>
      <c r="I1299" s="4">
        <v>42813.873611111114</v>
      </c>
      <c r="J1299" s="2" t="s">
        <v>12369</v>
      </c>
    </row>
    <row r="1300" spans="1:10" ht="135" x14ac:dyDescent="0.25">
      <c r="A1300" s="2" t="s">
        <v>417</v>
      </c>
      <c r="B1300" s="2">
        <v>323.11960729999998</v>
      </c>
      <c r="C1300" s="2" t="s">
        <v>11061</v>
      </c>
      <c r="D1300" s="2" t="s">
        <v>11060</v>
      </c>
      <c r="E1300" s="2" t="s">
        <v>4660</v>
      </c>
      <c r="F1300" s="3">
        <v>42755</v>
      </c>
      <c r="G1300" s="2" t="str">
        <f>"9780813168913"</f>
        <v>9780813168913</v>
      </c>
      <c r="H1300" s="2" t="s">
        <v>14</v>
      </c>
      <c r="I1300" s="4">
        <v>43020.592361111114</v>
      </c>
      <c r="J1300" s="2" t="s">
        <v>11062</v>
      </c>
    </row>
    <row r="1301" spans="1:10" ht="135" x14ac:dyDescent="0.25">
      <c r="A1301" s="2" t="s">
        <v>417</v>
      </c>
      <c r="B1301" s="2">
        <v>320.54094300000003</v>
      </c>
      <c r="C1301" s="2" t="s">
        <v>12479</v>
      </c>
      <c r="D1301" s="2" t="s">
        <v>12478</v>
      </c>
      <c r="E1301" s="2" t="s">
        <v>216</v>
      </c>
      <c r="F1301" s="3">
        <v>42612</v>
      </c>
      <c r="G1301" s="2" t="str">
        <f>"9781438462561"</f>
        <v>9781438462561</v>
      </c>
      <c r="H1301" s="2" t="s">
        <v>14</v>
      </c>
      <c r="I1301" s="4">
        <v>42802.817361111112</v>
      </c>
      <c r="J1301" s="2" t="s">
        <v>12480</v>
      </c>
    </row>
    <row r="1302" spans="1:10" ht="135" x14ac:dyDescent="0.25">
      <c r="A1302" s="2" t="s">
        <v>417</v>
      </c>
      <c r="B1302" s="2">
        <v>327.41009042000002</v>
      </c>
      <c r="C1302" s="2" t="s">
        <v>20</v>
      </c>
      <c r="D1302" s="2" t="s">
        <v>1683</v>
      </c>
      <c r="E1302" s="2" t="s">
        <v>17</v>
      </c>
      <c r="F1302" s="3">
        <v>42256</v>
      </c>
      <c r="G1302" s="2" t="str">
        <f>"9781137316608"</f>
        <v>9781137316608</v>
      </c>
      <c r="H1302" s="2" t="s">
        <v>14</v>
      </c>
      <c r="I1302" s="4">
        <v>43932.507638888892</v>
      </c>
      <c r="J1302" s="2" t="s">
        <v>1684</v>
      </c>
    </row>
    <row r="1303" spans="1:10" ht="135" x14ac:dyDescent="0.25">
      <c r="A1303" s="2" t="s">
        <v>417</v>
      </c>
      <c r="B1303" s="2">
        <v>995</v>
      </c>
      <c r="C1303" s="2" t="s">
        <v>3641</v>
      </c>
      <c r="D1303" s="2" t="s">
        <v>3640</v>
      </c>
      <c r="E1303" s="2" t="s">
        <v>130</v>
      </c>
      <c r="F1303" s="3">
        <v>43097</v>
      </c>
      <c r="G1303" s="2" t="str">
        <f>"9780813052946"</f>
        <v>9780813052946</v>
      </c>
      <c r="H1303" s="2" t="s">
        <v>14</v>
      </c>
      <c r="I1303" s="4">
        <v>43769.588194444441</v>
      </c>
      <c r="J1303" s="2" t="s">
        <v>3642</v>
      </c>
    </row>
    <row r="1304" spans="1:10" ht="135" x14ac:dyDescent="0.25">
      <c r="A1304" s="2" t="s">
        <v>417</v>
      </c>
      <c r="B1304" s="2">
        <v>327.47699999999998</v>
      </c>
      <c r="C1304" s="2" t="s">
        <v>6465</v>
      </c>
      <c r="D1304" s="2" t="s">
        <v>6464</v>
      </c>
      <c r="E1304" s="2" t="s">
        <v>268</v>
      </c>
      <c r="F1304" s="3">
        <v>42268</v>
      </c>
      <c r="G1304" s="2" t="str">
        <f>"9780815727446"</f>
        <v>9780815727446</v>
      </c>
      <c r="H1304" s="2" t="s">
        <v>14</v>
      </c>
      <c r="I1304" s="4">
        <v>43515.628472222219</v>
      </c>
      <c r="J1304" s="2" t="s">
        <v>6466</v>
      </c>
    </row>
    <row r="1305" spans="1:10" ht="135" x14ac:dyDescent="0.25">
      <c r="A1305" s="2" t="s">
        <v>417</v>
      </c>
      <c r="B1305" s="2">
        <v>327.54050999999998</v>
      </c>
      <c r="C1305" s="2" t="s">
        <v>11786</v>
      </c>
      <c r="D1305" s="2" t="s">
        <v>11784</v>
      </c>
      <c r="E1305" s="2" t="s">
        <v>11785</v>
      </c>
      <c r="F1305" s="3">
        <v>42632</v>
      </c>
      <c r="G1305" s="2" t="str">
        <f>"9780472122202"</f>
        <v>9780472122202</v>
      </c>
      <c r="H1305" s="2" t="s">
        <v>14</v>
      </c>
      <c r="I1305" s="4">
        <v>42891.470138888886</v>
      </c>
      <c r="J1305" s="2" t="s">
        <v>11787</v>
      </c>
    </row>
    <row r="1306" spans="1:10" ht="135" x14ac:dyDescent="0.25">
      <c r="A1306" s="2" t="s">
        <v>417</v>
      </c>
      <c r="B1306" s="2">
        <v>989.5</v>
      </c>
      <c r="C1306" s="2" t="s">
        <v>4569</v>
      </c>
      <c r="D1306" s="2" t="s">
        <v>4568</v>
      </c>
      <c r="E1306" s="2" t="s">
        <v>397</v>
      </c>
      <c r="F1306" s="3">
        <v>43487</v>
      </c>
      <c r="G1306" s="2" t="str">
        <f>"9780822986362"</f>
        <v>9780822986362</v>
      </c>
      <c r="H1306" s="2" t="s">
        <v>14</v>
      </c>
      <c r="I1306" s="4">
        <v>43647.93472222222</v>
      </c>
      <c r="J1306" s="2" t="s">
        <v>4570</v>
      </c>
    </row>
    <row r="1307" spans="1:10" ht="135" x14ac:dyDescent="0.25">
      <c r="A1307" s="2" t="s">
        <v>417</v>
      </c>
      <c r="B1307" s="2">
        <v>324.27325999999999</v>
      </c>
      <c r="C1307" s="2" t="s">
        <v>3729</v>
      </c>
      <c r="D1307" s="2" t="s">
        <v>3728</v>
      </c>
      <c r="E1307" s="2" t="s">
        <v>28</v>
      </c>
      <c r="F1307" s="3">
        <v>43726</v>
      </c>
      <c r="G1307" s="2" t="str">
        <f>"9780813943060"</f>
        <v>9780813943060</v>
      </c>
      <c r="H1307" s="2" t="s">
        <v>14</v>
      </c>
      <c r="I1307" s="4">
        <v>43760.991666666669</v>
      </c>
      <c r="J1307" s="2" t="s">
        <v>3730</v>
      </c>
    </row>
    <row r="1308" spans="1:10" ht="135" x14ac:dyDescent="0.25">
      <c r="A1308" s="2" t="s">
        <v>417</v>
      </c>
      <c r="B1308" s="2">
        <v>327.73054000000002</v>
      </c>
      <c r="C1308" s="2" t="s">
        <v>11330</v>
      </c>
      <c r="D1308" s="2" t="s">
        <v>11329</v>
      </c>
      <c r="E1308" s="2" t="s">
        <v>268</v>
      </c>
      <c r="F1308" s="3">
        <v>42304</v>
      </c>
      <c r="G1308" s="2" t="str">
        <f>"9780815727019"</f>
        <v>9780815727019</v>
      </c>
      <c r="H1308" s="2" t="s">
        <v>14</v>
      </c>
      <c r="I1308" s="4">
        <v>42987.665277777778</v>
      </c>
      <c r="J1308" s="2" t="s">
        <v>11331</v>
      </c>
    </row>
    <row r="1309" spans="1:10" ht="135" x14ac:dyDescent="0.25">
      <c r="A1309" s="2" t="s">
        <v>417</v>
      </c>
      <c r="B1309" s="2">
        <v>323.11970000000002</v>
      </c>
      <c r="C1309" s="2" t="s">
        <v>11036</v>
      </c>
      <c r="D1309" s="2" t="s">
        <v>11035</v>
      </c>
      <c r="E1309" s="2" t="s">
        <v>65</v>
      </c>
      <c r="F1309" s="3">
        <v>42515</v>
      </c>
      <c r="G1309" s="2" t="str">
        <f>"9780806154299"</f>
        <v>9780806154299</v>
      </c>
      <c r="H1309" s="2" t="s">
        <v>14</v>
      </c>
      <c r="I1309" s="4">
        <v>43021.380555555559</v>
      </c>
      <c r="J1309" s="2" t="s">
        <v>11037</v>
      </c>
    </row>
    <row r="1310" spans="1:10" ht="135" x14ac:dyDescent="0.25">
      <c r="A1310" s="2" t="s">
        <v>417</v>
      </c>
      <c r="B1310" s="2" t="s">
        <v>11091</v>
      </c>
      <c r="C1310" s="2" t="s">
        <v>11092</v>
      </c>
      <c r="D1310" s="2" t="s">
        <v>11090</v>
      </c>
      <c r="E1310" s="2" t="s">
        <v>6704</v>
      </c>
      <c r="F1310" s="3">
        <v>42502</v>
      </c>
      <c r="G1310" s="2" t="str">
        <f>"9781501703430"</f>
        <v>9781501703430</v>
      </c>
      <c r="H1310" s="2" t="s">
        <v>14</v>
      </c>
      <c r="I1310" s="4">
        <v>43018.578472222223</v>
      </c>
      <c r="J1310" s="2" t="s">
        <v>11093</v>
      </c>
    </row>
    <row r="1311" spans="1:10" ht="135" x14ac:dyDescent="0.25">
      <c r="A1311" s="2" t="s">
        <v>417</v>
      </c>
      <c r="B1311" s="2" t="s">
        <v>10473</v>
      </c>
      <c r="C1311" s="2" t="s">
        <v>10474</v>
      </c>
      <c r="D1311" s="2" t="s">
        <v>10472</v>
      </c>
      <c r="E1311" s="2" t="s">
        <v>4660</v>
      </c>
      <c r="F1311" s="3">
        <v>35544</v>
      </c>
      <c r="G1311" s="2" t="str">
        <f>"9780813156545"</f>
        <v>9780813156545</v>
      </c>
      <c r="H1311" s="2" t="s">
        <v>14</v>
      </c>
      <c r="I1311" s="4">
        <v>43055.098611111112</v>
      </c>
      <c r="J1311" s="2" t="s">
        <v>10475</v>
      </c>
    </row>
    <row r="1312" spans="1:10" ht="135" x14ac:dyDescent="0.25">
      <c r="A1312" s="2" t="s">
        <v>417</v>
      </c>
      <c r="B1312" s="2" t="s">
        <v>4685</v>
      </c>
      <c r="C1312" s="2" t="s">
        <v>4686</v>
      </c>
      <c r="D1312" s="2" t="s">
        <v>4684</v>
      </c>
      <c r="E1312" s="2" t="s">
        <v>1017</v>
      </c>
      <c r="F1312" s="3">
        <v>43221</v>
      </c>
      <c r="G1312" s="2" t="str">
        <f>"9781640120419"</f>
        <v>9781640120419</v>
      </c>
      <c r="H1312" s="2" t="s">
        <v>14</v>
      </c>
      <c r="I1312" s="4">
        <v>43637.399305555555</v>
      </c>
      <c r="J1312" s="2" t="s">
        <v>4687</v>
      </c>
    </row>
    <row r="1313" spans="1:10" ht="135" x14ac:dyDescent="0.25">
      <c r="A1313" s="2" t="s">
        <v>417</v>
      </c>
      <c r="B1313" s="2" t="s">
        <v>10439</v>
      </c>
      <c r="C1313" s="2" t="s">
        <v>10440</v>
      </c>
      <c r="D1313" s="2" t="s">
        <v>10438</v>
      </c>
      <c r="E1313" s="2" t="s">
        <v>54</v>
      </c>
      <c r="F1313" s="3">
        <v>41871</v>
      </c>
      <c r="G1313" s="2" t="str">
        <f>"9780804792448"</f>
        <v>9780804792448</v>
      </c>
      <c r="H1313" s="2" t="s">
        <v>14</v>
      </c>
      <c r="I1313" s="4">
        <v>43057.798611111109</v>
      </c>
      <c r="J1313" s="2" t="s">
        <v>10441</v>
      </c>
    </row>
    <row r="1314" spans="1:10" ht="135" x14ac:dyDescent="0.25">
      <c r="A1314" s="2" t="s">
        <v>417</v>
      </c>
      <c r="B1314" s="2">
        <v>327.47000000000003</v>
      </c>
      <c r="C1314" s="2" t="s">
        <v>6456</v>
      </c>
      <c r="D1314" s="2" t="s">
        <v>6455</v>
      </c>
      <c r="E1314" s="2" t="s">
        <v>268</v>
      </c>
      <c r="F1314" s="3">
        <v>43494</v>
      </c>
      <c r="G1314" s="2" t="str">
        <f>"9780815735755"</f>
        <v>9780815735755</v>
      </c>
      <c r="H1314" s="2" t="s">
        <v>14</v>
      </c>
      <c r="I1314" s="4">
        <v>43516.377083333333</v>
      </c>
      <c r="J1314" s="2" t="s">
        <v>6457</v>
      </c>
    </row>
    <row r="1315" spans="1:10" ht="135" x14ac:dyDescent="0.25">
      <c r="A1315" s="2" t="s">
        <v>417</v>
      </c>
      <c r="B1315" s="2">
        <v>320.09750000000003</v>
      </c>
      <c r="C1315" s="2" t="s">
        <v>12864</v>
      </c>
      <c r="D1315" s="2" t="s">
        <v>12863</v>
      </c>
      <c r="E1315" s="2" t="s">
        <v>130</v>
      </c>
      <c r="F1315" s="3">
        <v>41779</v>
      </c>
      <c r="G1315" s="2" t="str">
        <f>"9780813048840"</f>
        <v>9780813048840</v>
      </c>
      <c r="H1315" s="2" t="s">
        <v>14</v>
      </c>
      <c r="I1315" s="4">
        <v>42765.513888888891</v>
      </c>
      <c r="J1315" s="2" t="s">
        <v>12865</v>
      </c>
    </row>
    <row r="1316" spans="1:10" ht="135" x14ac:dyDescent="0.25">
      <c r="A1316" s="2" t="s">
        <v>417</v>
      </c>
      <c r="B1316" s="2" t="s">
        <v>6404</v>
      </c>
      <c r="C1316" s="2" t="s">
        <v>6405</v>
      </c>
      <c r="D1316" s="2" t="s">
        <v>6403</v>
      </c>
      <c r="E1316" s="2" t="s">
        <v>397</v>
      </c>
      <c r="F1316" s="3">
        <v>42983</v>
      </c>
      <c r="G1316" s="2" t="str">
        <f>"9780822982395"</f>
        <v>9780822982395</v>
      </c>
      <c r="H1316" s="2" t="s">
        <v>14</v>
      </c>
      <c r="I1316" s="4">
        <v>43520.325694444444</v>
      </c>
      <c r="J1316" s="2" t="s">
        <v>6406</v>
      </c>
    </row>
    <row r="1317" spans="1:10" ht="135" x14ac:dyDescent="0.25">
      <c r="A1317" s="2" t="s">
        <v>417</v>
      </c>
      <c r="B1317" s="2">
        <v>323.11970000000002</v>
      </c>
      <c r="C1317" s="2" t="s">
        <v>8582</v>
      </c>
      <c r="D1317" s="2" t="s">
        <v>8581</v>
      </c>
      <c r="E1317" s="2" t="s">
        <v>216</v>
      </c>
      <c r="F1317" s="3">
        <v>42491</v>
      </c>
      <c r="G1317" s="2" t="str">
        <f>"9781438460703"</f>
        <v>9781438460703</v>
      </c>
      <c r="H1317" s="2" t="s">
        <v>14</v>
      </c>
      <c r="I1317" s="4">
        <v>43285.632638888892</v>
      </c>
      <c r="J1317" s="2" t="s">
        <v>8583</v>
      </c>
    </row>
    <row r="1318" spans="1:10" ht="135" x14ac:dyDescent="0.25">
      <c r="A1318" s="2" t="s">
        <v>417</v>
      </c>
      <c r="B1318" s="2" t="s">
        <v>5667</v>
      </c>
      <c r="C1318" s="2" t="s">
        <v>5668</v>
      </c>
      <c r="D1318" s="2" t="s">
        <v>5666</v>
      </c>
      <c r="E1318" s="2" t="s">
        <v>578</v>
      </c>
      <c r="F1318" s="3">
        <v>42716</v>
      </c>
      <c r="G1318" s="2" t="str">
        <f>"9780252099038"</f>
        <v>9780252099038</v>
      </c>
      <c r="H1318" s="2" t="s">
        <v>14</v>
      </c>
      <c r="I1318" s="4">
        <v>43582.79583333333</v>
      </c>
      <c r="J1318" s="2" t="s">
        <v>5669</v>
      </c>
    </row>
    <row r="1319" spans="1:10" ht="135" x14ac:dyDescent="0.25">
      <c r="A1319" s="2" t="s">
        <v>417</v>
      </c>
      <c r="B1319" s="2">
        <v>323.119607307509</v>
      </c>
      <c r="C1319" s="2" t="s">
        <v>11419</v>
      </c>
      <c r="D1319" s="2" t="s">
        <v>11418</v>
      </c>
      <c r="E1319" s="2" t="s">
        <v>322</v>
      </c>
      <c r="F1319" s="3">
        <v>42644</v>
      </c>
      <c r="G1319" s="2" t="str">
        <f>"9780820349848"</f>
        <v>9780820349848</v>
      </c>
      <c r="H1319" s="2" t="s">
        <v>14</v>
      </c>
      <c r="I1319" s="4">
        <v>42973.684027777781</v>
      </c>
      <c r="J1319" s="2" t="s">
        <v>11420</v>
      </c>
    </row>
    <row r="1320" spans="1:10" ht="135" x14ac:dyDescent="0.25">
      <c r="A1320" s="2" t="s">
        <v>417</v>
      </c>
      <c r="B1320" s="2">
        <v>327.73047000000003</v>
      </c>
      <c r="C1320" s="2" t="s">
        <v>11849</v>
      </c>
      <c r="D1320" s="2" t="s">
        <v>11848</v>
      </c>
      <c r="E1320" s="2" t="s">
        <v>4660</v>
      </c>
      <c r="F1320" s="3">
        <v>42752</v>
      </c>
      <c r="G1320" s="2" t="str">
        <f>"9780813167886"</f>
        <v>9780813167886</v>
      </c>
      <c r="H1320" s="2" t="s">
        <v>14</v>
      </c>
      <c r="I1320" s="4">
        <v>42882.347916666666</v>
      </c>
      <c r="J1320" s="2" t="s">
        <v>11850</v>
      </c>
    </row>
    <row r="1321" spans="1:10" ht="135" x14ac:dyDescent="0.25">
      <c r="A1321" s="2" t="s">
        <v>417</v>
      </c>
      <c r="B1321" s="2">
        <v>955.05399999999997</v>
      </c>
      <c r="C1321" s="2" t="s">
        <v>5769</v>
      </c>
      <c r="D1321" s="2" t="s">
        <v>5768</v>
      </c>
      <c r="E1321" s="2" t="s">
        <v>310</v>
      </c>
      <c r="F1321" s="3">
        <v>43256</v>
      </c>
      <c r="G1321" s="2" t="str">
        <f>"9780815654322"</f>
        <v>9780815654322</v>
      </c>
      <c r="H1321" s="2" t="s">
        <v>14</v>
      </c>
      <c r="I1321" s="4">
        <v>43573.772222222222</v>
      </c>
      <c r="J1321" s="2" t="s">
        <v>5770</v>
      </c>
    </row>
    <row r="1322" spans="1:10" ht="135" x14ac:dyDescent="0.25">
      <c r="A1322" s="2" t="s">
        <v>417</v>
      </c>
      <c r="B1322" s="2">
        <v>320.95499999999998</v>
      </c>
      <c r="C1322" s="2" t="s">
        <v>418</v>
      </c>
      <c r="D1322" s="2" t="s">
        <v>416</v>
      </c>
      <c r="E1322" s="2" t="s">
        <v>69</v>
      </c>
      <c r="F1322" s="3">
        <v>42464</v>
      </c>
      <c r="G1322" s="2" t="str">
        <f>"9780253020796"</f>
        <v>9780253020796</v>
      </c>
      <c r="H1322" s="2" t="s">
        <v>14</v>
      </c>
      <c r="I1322" s="4">
        <v>44025.861805555556</v>
      </c>
      <c r="J1322" s="2" t="s">
        <v>419</v>
      </c>
    </row>
    <row r="1323" spans="1:10" ht="135" x14ac:dyDescent="0.25">
      <c r="A1323" s="2" t="s">
        <v>417</v>
      </c>
      <c r="B1323" s="2" t="s">
        <v>11091</v>
      </c>
      <c r="C1323" s="2" t="s">
        <v>11416</v>
      </c>
      <c r="D1323" s="2" t="s">
        <v>11415</v>
      </c>
      <c r="E1323" s="2" t="s">
        <v>499</v>
      </c>
      <c r="F1323" s="3">
        <v>42037</v>
      </c>
      <c r="G1323" s="2" t="str">
        <f>"9781626161795"</f>
        <v>9781626161795</v>
      </c>
      <c r="H1323" s="2" t="s">
        <v>14</v>
      </c>
      <c r="I1323" s="4">
        <v>42973.691666666666</v>
      </c>
      <c r="J1323" s="2" t="s">
        <v>11417</v>
      </c>
    </row>
    <row r="1324" spans="1:10" ht="135" x14ac:dyDescent="0.25">
      <c r="A1324" s="2" t="s">
        <v>417</v>
      </c>
      <c r="B1324" s="2">
        <v>959.10530000000006</v>
      </c>
      <c r="C1324" s="2" t="s">
        <v>8769</v>
      </c>
      <c r="D1324" s="2" t="s">
        <v>8767</v>
      </c>
      <c r="E1324" s="2" t="s">
        <v>8768</v>
      </c>
      <c r="F1324" s="3">
        <v>41760</v>
      </c>
      <c r="G1324" s="2" t="str">
        <f>"9781442228467"</f>
        <v>9781442228467</v>
      </c>
      <c r="H1324" s="2" t="s">
        <v>14</v>
      </c>
      <c r="I1324" s="4">
        <v>43255.131249999999</v>
      </c>
      <c r="J1324" s="2" t="s">
        <v>8770</v>
      </c>
    </row>
    <row r="1325" spans="1:10" ht="135" x14ac:dyDescent="0.25">
      <c r="A1325" s="2" t="s">
        <v>417</v>
      </c>
      <c r="B1325" s="2">
        <v>326.08996072999997</v>
      </c>
      <c r="C1325" s="2" t="s">
        <v>9597</v>
      </c>
      <c r="D1325" s="2" t="s">
        <v>9596</v>
      </c>
      <c r="E1325" s="2" t="s">
        <v>578</v>
      </c>
      <c r="F1325" s="3">
        <v>41736</v>
      </c>
      <c r="G1325" s="2" t="str">
        <f>"9780252096129"</f>
        <v>9780252096129</v>
      </c>
      <c r="H1325" s="2" t="s">
        <v>14</v>
      </c>
      <c r="I1325" s="4">
        <v>43148.556250000001</v>
      </c>
      <c r="J1325" s="2" t="s">
        <v>9598</v>
      </c>
    </row>
    <row r="1326" spans="1:10" ht="135" x14ac:dyDescent="0.25">
      <c r="A1326" s="2" t="s">
        <v>417</v>
      </c>
      <c r="B1326" s="2" t="s">
        <v>1368</v>
      </c>
      <c r="C1326" s="2" t="s">
        <v>1369</v>
      </c>
      <c r="D1326" s="2" t="s">
        <v>1367</v>
      </c>
      <c r="E1326" s="2" t="s">
        <v>578</v>
      </c>
      <c r="F1326" s="3">
        <v>42459</v>
      </c>
      <c r="G1326" s="2" t="str">
        <f>"9780252098321"</f>
        <v>9780252098321</v>
      </c>
      <c r="H1326" s="2" t="s">
        <v>14</v>
      </c>
      <c r="I1326" s="4">
        <v>43947.276388888888</v>
      </c>
      <c r="J1326" s="2" t="s">
        <v>1370</v>
      </c>
    </row>
    <row r="1327" spans="1:10" ht="135" x14ac:dyDescent="0.25">
      <c r="A1327" s="2" t="s">
        <v>417</v>
      </c>
      <c r="B1327" s="2">
        <v>320.54091749000003</v>
      </c>
      <c r="C1327" s="2" t="s">
        <v>6822</v>
      </c>
      <c r="D1327" s="2" t="s">
        <v>6821</v>
      </c>
      <c r="E1327" s="2" t="s">
        <v>499</v>
      </c>
      <c r="F1327" s="3">
        <v>42873</v>
      </c>
      <c r="G1327" s="2" t="str">
        <f>"9781626164512"</f>
        <v>9781626164512</v>
      </c>
      <c r="H1327" s="2" t="s">
        <v>14</v>
      </c>
      <c r="I1327" s="4">
        <v>43483.548611111109</v>
      </c>
      <c r="J1327" s="2" t="s">
        <v>6823</v>
      </c>
    </row>
    <row r="1328" spans="1:10" ht="135" x14ac:dyDescent="0.25">
      <c r="A1328" s="2" t="s">
        <v>417</v>
      </c>
      <c r="B1328" s="2">
        <v>323.11960729999998</v>
      </c>
      <c r="C1328" s="2" t="s">
        <v>7037</v>
      </c>
      <c r="D1328" s="2" t="s">
        <v>7036</v>
      </c>
      <c r="E1328" s="2" t="s">
        <v>156</v>
      </c>
      <c r="F1328" s="3">
        <v>43017</v>
      </c>
      <c r="G1328" s="2" t="str">
        <f>"9781469634579"</f>
        <v>9781469634579</v>
      </c>
      <c r="H1328" s="2" t="s">
        <v>14</v>
      </c>
      <c r="I1328" s="4">
        <v>43456.53125</v>
      </c>
      <c r="J1328" s="2" t="s">
        <v>7038</v>
      </c>
    </row>
    <row r="1329" spans="1:10" ht="180" x14ac:dyDescent="0.25">
      <c r="A1329" s="2" t="s">
        <v>417</v>
      </c>
      <c r="B1329" s="2">
        <v>320.98</v>
      </c>
      <c r="C1329" s="2" t="s">
        <v>3384</v>
      </c>
      <c r="D1329" s="2" t="s">
        <v>3383</v>
      </c>
      <c r="E1329" s="2" t="s">
        <v>397</v>
      </c>
      <c r="F1329" s="3">
        <v>43202</v>
      </c>
      <c r="G1329" s="2" t="str">
        <f>"9780822983101"</f>
        <v>9780822983101</v>
      </c>
      <c r="H1329" s="2" t="s">
        <v>14</v>
      </c>
      <c r="I1329" s="4">
        <v>43786.463194444441</v>
      </c>
      <c r="J1329" s="2" t="s">
        <v>3385</v>
      </c>
    </row>
    <row r="1330" spans="1:10" ht="135" x14ac:dyDescent="0.25">
      <c r="A1330" s="2" t="s">
        <v>417</v>
      </c>
      <c r="B1330" s="2" t="s">
        <v>11307</v>
      </c>
      <c r="C1330" s="2" t="s">
        <v>11308</v>
      </c>
      <c r="D1330" s="2" t="s">
        <v>11306</v>
      </c>
      <c r="E1330" s="2" t="s">
        <v>4660</v>
      </c>
      <c r="F1330" s="3">
        <v>41772</v>
      </c>
      <c r="G1330" s="2" t="str">
        <f>"9780813145099"</f>
        <v>9780813145099</v>
      </c>
      <c r="H1330" s="2" t="s">
        <v>14</v>
      </c>
      <c r="I1330" s="4">
        <v>42991.882638888892</v>
      </c>
      <c r="J1330" s="2" t="s">
        <v>11309</v>
      </c>
    </row>
    <row r="1331" spans="1:10" ht="135" x14ac:dyDescent="0.25">
      <c r="A1331" s="2" t="s">
        <v>417</v>
      </c>
      <c r="B1331" s="2">
        <v>320.53109045000002</v>
      </c>
      <c r="C1331" s="2" t="s">
        <v>20</v>
      </c>
      <c r="D1331" s="2" t="s">
        <v>6095</v>
      </c>
      <c r="E1331" s="2" t="s">
        <v>37</v>
      </c>
      <c r="F1331" s="3">
        <v>42724</v>
      </c>
      <c r="G1331" s="2" t="str">
        <f>"9783319325705"</f>
        <v>9783319325705</v>
      </c>
      <c r="H1331" s="2" t="s">
        <v>14</v>
      </c>
      <c r="I1331" s="4">
        <v>43542.361805555556</v>
      </c>
      <c r="J1331" s="2" t="s">
        <v>6096</v>
      </c>
    </row>
    <row r="1332" spans="1:10" ht="135" x14ac:dyDescent="0.25">
      <c r="A1332" s="2" t="s">
        <v>417</v>
      </c>
      <c r="B1332" s="2">
        <v>320.54095694</v>
      </c>
      <c r="C1332" s="2" t="s">
        <v>8084</v>
      </c>
      <c r="D1332" s="2" t="s">
        <v>8083</v>
      </c>
      <c r="E1332" s="2" t="s">
        <v>216</v>
      </c>
      <c r="F1332" s="3">
        <v>42826</v>
      </c>
      <c r="G1332" s="2" t="str">
        <f>"9781438465357"</f>
        <v>9781438465357</v>
      </c>
      <c r="H1332" s="2" t="s">
        <v>14</v>
      </c>
      <c r="I1332" s="4">
        <v>43355.53402777778</v>
      </c>
      <c r="J1332" s="2" t="s">
        <v>8085</v>
      </c>
    </row>
    <row r="1333" spans="1:10" ht="135" x14ac:dyDescent="0.25">
      <c r="A1333" s="2" t="s">
        <v>417</v>
      </c>
      <c r="B1333" s="2">
        <v>327.47073</v>
      </c>
      <c r="C1333" s="2" t="s">
        <v>6075</v>
      </c>
      <c r="D1333" s="2" t="s">
        <v>6074</v>
      </c>
      <c r="E1333" s="2" t="s">
        <v>499</v>
      </c>
      <c r="F1333" s="3">
        <v>42199</v>
      </c>
      <c r="G1333" s="2" t="str">
        <f>"9781626162303"</f>
        <v>9781626162303</v>
      </c>
      <c r="H1333" s="2" t="s">
        <v>14</v>
      </c>
      <c r="I1333" s="4">
        <v>43543.228472222225</v>
      </c>
      <c r="J1333" s="2" t="s">
        <v>6076</v>
      </c>
    </row>
    <row r="1334" spans="1:10" ht="135" x14ac:dyDescent="0.25">
      <c r="A1334" s="2" t="s">
        <v>417</v>
      </c>
      <c r="B1334" s="2">
        <v>322.42096800000002</v>
      </c>
      <c r="C1334" s="2" t="s">
        <v>4289</v>
      </c>
      <c r="D1334" s="2" t="s">
        <v>4288</v>
      </c>
      <c r="E1334" s="2" t="s">
        <v>69</v>
      </c>
      <c r="F1334" s="3">
        <v>43133</v>
      </c>
      <c r="G1334" s="2" t="str">
        <f>"9780253032300"</f>
        <v>9780253032300</v>
      </c>
      <c r="H1334" s="2" t="s">
        <v>14</v>
      </c>
      <c r="I1334" s="4">
        <v>43684.865277777775</v>
      </c>
      <c r="J1334" s="2" t="s">
        <v>4290</v>
      </c>
    </row>
    <row r="1335" spans="1:10" ht="135" x14ac:dyDescent="0.25">
      <c r="A1335" s="2" t="s">
        <v>417</v>
      </c>
      <c r="B1335" s="2" t="s">
        <v>11595</v>
      </c>
      <c r="C1335" s="2" t="s">
        <v>11596</v>
      </c>
      <c r="D1335" s="2" t="s">
        <v>11594</v>
      </c>
      <c r="E1335" s="2" t="s">
        <v>54</v>
      </c>
      <c r="F1335" s="3">
        <v>40602</v>
      </c>
      <c r="G1335" s="2" t="str">
        <f>"9780804777698"</f>
        <v>9780804777698</v>
      </c>
      <c r="H1335" s="2" t="s">
        <v>14</v>
      </c>
      <c r="I1335" s="4">
        <v>42922.006944444445</v>
      </c>
      <c r="J1335" s="2" t="s">
        <v>11597</v>
      </c>
    </row>
    <row r="1336" spans="1:10" ht="135" x14ac:dyDescent="0.25">
      <c r="A1336" s="2" t="s">
        <v>417</v>
      </c>
      <c r="B1336" s="2">
        <v>320.54095694</v>
      </c>
      <c r="C1336" s="2" t="s">
        <v>5808</v>
      </c>
      <c r="D1336" s="2" t="s">
        <v>5807</v>
      </c>
      <c r="E1336" s="2" t="s">
        <v>216</v>
      </c>
      <c r="F1336" s="3">
        <v>43525</v>
      </c>
      <c r="G1336" s="2" t="str">
        <f>"9781438473147"</f>
        <v>9781438473147</v>
      </c>
      <c r="H1336" s="2" t="s">
        <v>14</v>
      </c>
      <c r="I1336" s="4">
        <v>43569.643055555556</v>
      </c>
      <c r="J1336" s="2" t="s">
        <v>5809</v>
      </c>
    </row>
    <row r="1337" spans="1:10" ht="135" x14ac:dyDescent="0.25">
      <c r="A1337" s="2" t="s">
        <v>417</v>
      </c>
      <c r="B1337" s="2">
        <v>323.11970710000003</v>
      </c>
      <c r="C1337" s="2" t="s">
        <v>550</v>
      </c>
      <c r="D1337" s="2" t="s">
        <v>549</v>
      </c>
      <c r="E1337" s="2" t="s">
        <v>73</v>
      </c>
      <c r="F1337" s="3">
        <v>43536</v>
      </c>
      <c r="G1337" s="2" t="str">
        <f>"9781452959238"</f>
        <v>9781452959238</v>
      </c>
      <c r="H1337" s="2" t="s">
        <v>14</v>
      </c>
      <c r="I1337" s="4">
        <v>44015.277083333334</v>
      </c>
      <c r="J1337" s="2" t="s">
        <v>551</v>
      </c>
    </row>
    <row r="1338" spans="1:10" ht="135" x14ac:dyDescent="0.25">
      <c r="A1338" s="2" t="s">
        <v>417</v>
      </c>
      <c r="B1338" s="2">
        <v>941.06700000000001</v>
      </c>
      <c r="C1338" s="2" t="s">
        <v>11449</v>
      </c>
      <c r="D1338" s="2" t="s">
        <v>11448</v>
      </c>
      <c r="E1338" s="2" t="s">
        <v>11</v>
      </c>
      <c r="F1338" s="3">
        <v>41950</v>
      </c>
      <c r="G1338" s="2" t="str">
        <f>"9780813226880"</f>
        <v>9780813226880</v>
      </c>
      <c r="H1338" s="2" t="s">
        <v>14</v>
      </c>
      <c r="I1338" s="4">
        <v>42968.415972222225</v>
      </c>
      <c r="J1338" s="2" t="s">
        <v>11450</v>
      </c>
    </row>
    <row r="1339" spans="1:10" ht="135" x14ac:dyDescent="0.25">
      <c r="A1339" s="2" t="s">
        <v>417</v>
      </c>
      <c r="B1339" s="2">
        <v>327.52073000000001</v>
      </c>
      <c r="C1339" s="2" t="s">
        <v>20</v>
      </c>
      <c r="D1339" s="2" t="s">
        <v>5766</v>
      </c>
      <c r="E1339" s="2" t="s">
        <v>152</v>
      </c>
      <c r="F1339" s="3">
        <v>42821</v>
      </c>
      <c r="G1339" s="2" t="str">
        <f>"9789811031847"</f>
        <v>9789811031847</v>
      </c>
      <c r="H1339" s="2" t="s">
        <v>14</v>
      </c>
      <c r="I1339" s="4">
        <v>43573.790972222225</v>
      </c>
      <c r="J1339" s="2" t="s">
        <v>5767</v>
      </c>
    </row>
    <row r="1340" spans="1:10" ht="135" x14ac:dyDescent="0.25">
      <c r="A1340" s="2" t="s">
        <v>417</v>
      </c>
      <c r="B1340" s="2" t="s">
        <v>3968</v>
      </c>
      <c r="C1340" s="2" t="s">
        <v>3969</v>
      </c>
      <c r="D1340" s="2" t="s">
        <v>3967</v>
      </c>
      <c r="E1340" s="2" t="s">
        <v>216</v>
      </c>
      <c r="F1340" s="3">
        <v>41165</v>
      </c>
      <c r="G1340" s="2" t="str">
        <f>"9781438443393"</f>
        <v>9781438443393</v>
      </c>
      <c r="H1340" s="2" t="s">
        <v>14</v>
      </c>
      <c r="I1340" s="4">
        <v>43734.853472222225</v>
      </c>
      <c r="J1340" s="2" t="s">
        <v>3970</v>
      </c>
    </row>
    <row r="1341" spans="1:10" ht="150" x14ac:dyDescent="0.25">
      <c r="A1341" s="2" t="s">
        <v>417</v>
      </c>
      <c r="B1341" s="2">
        <v>327.73047084000001</v>
      </c>
      <c r="C1341" s="2" t="s">
        <v>10163</v>
      </c>
      <c r="D1341" s="2" t="s">
        <v>10162</v>
      </c>
      <c r="E1341" s="2" t="s">
        <v>627</v>
      </c>
      <c r="F1341" s="3">
        <v>42735</v>
      </c>
      <c r="G1341" s="2" t="str">
        <f>"9789633861714"</f>
        <v>9789633861714</v>
      </c>
      <c r="H1341" s="2" t="s">
        <v>14</v>
      </c>
      <c r="I1341" s="4">
        <v>43090.587500000001</v>
      </c>
      <c r="J1341" s="2" t="s">
        <v>10164</v>
      </c>
    </row>
    <row r="1342" spans="1:10" ht="135" x14ac:dyDescent="0.25">
      <c r="A1342" s="2" t="s">
        <v>417</v>
      </c>
      <c r="B1342" s="2">
        <v>320.56992409409997</v>
      </c>
      <c r="C1342" s="2" t="s">
        <v>12130</v>
      </c>
      <c r="D1342" s="2" t="s">
        <v>12129</v>
      </c>
      <c r="E1342" s="2" t="s">
        <v>191</v>
      </c>
      <c r="F1342" s="3">
        <v>42619</v>
      </c>
      <c r="G1342" s="2" t="str">
        <f>"9781785901515"</f>
        <v>9781785901515</v>
      </c>
      <c r="H1342" s="2" t="s">
        <v>14</v>
      </c>
      <c r="I1342" s="4">
        <v>42845.949305555558</v>
      </c>
      <c r="J1342" s="2" t="s">
        <v>12131</v>
      </c>
    </row>
    <row r="1343" spans="1:10" ht="150" x14ac:dyDescent="0.25">
      <c r="A1343" s="2" t="s">
        <v>417</v>
      </c>
      <c r="B1343" s="2" t="s">
        <v>5699</v>
      </c>
      <c r="C1343" s="2" t="s">
        <v>7002</v>
      </c>
      <c r="D1343" s="2" t="s">
        <v>7001</v>
      </c>
      <c r="E1343" s="2" t="s">
        <v>156</v>
      </c>
      <c r="F1343" s="3">
        <v>43185</v>
      </c>
      <c r="G1343" s="2" t="str">
        <f>"9781469636344"</f>
        <v>9781469636344</v>
      </c>
      <c r="H1343" s="2" t="s">
        <v>14</v>
      </c>
      <c r="I1343" s="4">
        <v>43466.902777777781</v>
      </c>
      <c r="J1343" s="2" t="s">
        <v>7003</v>
      </c>
    </row>
    <row r="1344" spans="1:10" ht="135" x14ac:dyDescent="0.25">
      <c r="A1344" s="2" t="s">
        <v>417</v>
      </c>
      <c r="B1344" s="2" t="s">
        <v>3511</v>
      </c>
      <c r="C1344" s="2" t="s">
        <v>3512</v>
      </c>
      <c r="D1344" s="2" t="s">
        <v>3510</v>
      </c>
      <c r="E1344" s="2" t="s">
        <v>69</v>
      </c>
      <c r="F1344" s="3">
        <v>43355</v>
      </c>
      <c r="G1344" s="2" t="str">
        <f>"9780253036605"</f>
        <v>9780253036605</v>
      </c>
      <c r="H1344" s="2" t="s">
        <v>14</v>
      </c>
      <c r="I1344" s="4">
        <v>43778.490972222222</v>
      </c>
      <c r="J1344" s="2" t="s">
        <v>3513</v>
      </c>
    </row>
    <row r="1345" spans="1:10" ht="135" x14ac:dyDescent="0.25">
      <c r="A1345" s="2" t="s">
        <v>417</v>
      </c>
      <c r="B1345" s="2">
        <v>327.41043999999999</v>
      </c>
      <c r="C1345" s="2" t="s">
        <v>20</v>
      </c>
      <c r="D1345" s="2" t="s">
        <v>10719</v>
      </c>
      <c r="E1345" s="2" t="s">
        <v>17</v>
      </c>
      <c r="F1345" s="3">
        <v>41576</v>
      </c>
      <c r="G1345" s="2" t="str">
        <f>"9781137318299"</f>
        <v>9781137318299</v>
      </c>
      <c r="H1345" s="2" t="s">
        <v>14</v>
      </c>
      <c r="I1345" s="4">
        <v>43039.604861111111</v>
      </c>
      <c r="J1345" s="2" t="s">
        <v>10720</v>
      </c>
    </row>
    <row r="1346" spans="1:10" ht="165" x14ac:dyDescent="0.25">
      <c r="A1346" s="2" t="s">
        <v>417</v>
      </c>
      <c r="B1346" s="2">
        <v>327.73</v>
      </c>
      <c r="C1346" s="2" t="s">
        <v>11520</v>
      </c>
      <c r="D1346" s="2" t="s">
        <v>11519</v>
      </c>
      <c r="E1346" s="2" t="s">
        <v>54</v>
      </c>
      <c r="F1346" s="3">
        <v>41745</v>
      </c>
      <c r="G1346" s="2" t="str">
        <f>"9780804790925"</f>
        <v>9780804790925</v>
      </c>
      <c r="H1346" s="2" t="s">
        <v>14</v>
      </c>
      <c r="I1346" s="4">
        <v>42942.449305555558</v>
      </c>
      <c r="J1346" s="2" t="s">
        <v>11521</v>
      </c>
    </row>
    <row r="1347" spans="1:10" ht="135" x14ac:dyDescent="0.25">
      <c r="A1347" s="2" t="s">
        <v>417</v>
      </c>
      <c r="B1347" s="2" t="s">
        <v>10570</v>
      </c>
      <c r="C1347" s="2" t="s">
        <v>6798</v>
      </c>
      <c r="D1347" s="2" t="s">
        <v>10569</v>
      </c>
      <c r="E1347" s="2" t="s">
        <v>54</v>
      </c>
      <c r="F1347" s="3">
        <v>41745</v>
      </c>
      <c r="G1347" s="2" t="str">
        <f>"9780804791182"</f>
        <v>9780804791182</v>
      </c>
      <c r="H1347" s="2" t="s">
        <v>14</v>
      </c>
      <c r="I1347" s="4">
        <v>43049.706944444442</v>
      </c>
      <c r="J1347" s="2" t="s">
        <v>10571</v>
      </c>
    </row>
    <row r="1348" spans="1:10" ht="135" x14ac:dyDescent="0.25">
      <c r="A1348" s="2" t="s">
        <v>417</v>
      </c>
      <c r="B1348" s="2">
        <v>327.51047</v>
      </c>
      <c r="C1348" s="2" t="s">
        <v>10966</v>
      </c>
      <c r="D1348" s="2" t="s">
        <v>10965</v>
      </c>
      <c r="E1348" s="2" t="s">
        <v>156</v>
      </c>
      <c r="F1348" s="3">
        <v>41673</v>
      </c>
      <c r="G1348" s="2" t="str">
        <f>"9781469615530"</f>
        <v>9781469615530</v>
      </c>
      <c r="H1348" s="2" t="s">
        <v>14</v>
      </c>
      <c r="I1348" s="4">
        <v>43025.592361111114</v>
      </c>
      <c r="J1348" s="2" t="s">
        <v>10967</v>
      </c>
    </row>
    <row r="1349" spans="1:10" ht="135" x14ac:dyDescent="0.25">
      <c r="A1349" s="2" t="s">
        <v>417</v>
      </c>
      <c r="B1349" s="2">
        <v>327.73045999999999</v>
      </c>
      <c r="C1349" s="2" t="s">
        <v>5788</v>
      </c>
      <c r="D1349" s="2" t="s">
        <v>5787</v>
      </c>
      <c r="E1349" s="2" t="s">
        <v>46</v>
      </c>
      <c r="F1349" s="3">
        <v>43525</v>
      </c>
      <c r="G1349" s="2" t="str">
        <f>"9781496211132"</f>
        <v>9781496211132</v>
      </c>
      <c r="H1349" s="2" t="s">
        <v>14</v>
      </c>
      <c r="I1349" s="4">
        <v>43571.536805555559</v>
      </c>
      <c r="J1349" s="2" t="s">
        <v>5789</v>
      </c>
    </row>
    <row r="1350" spans="1:10" ht="135" x14ac:dyDescent="0.25">
      <c r="A1350" s="2" t="s">
        <v>417</v>
      </c>
      <c r="B1350" s="2">
        <v>327.51073000000002</v>
      </c>
      <c r="C1350" s="2" t="s">
        <v>12684</v>
      </c>
      <c r="D1350" s="2" t="s">
        <v>12683</v>
      </c>
      <c r="E1350" s="2" t="s">
        <v>1869</v>
      </c>
      <c r="F1350" s="3">
        <v>41304</v>
      </c>
      <c r="G1350" s="2" t="str">
        <f>"9780742557833"</f>
        <v>9780742557833</v>
      </c>
      <c r="H1350" s="2" t="s">
        <v>14</v>
      </c>
      <c r="I1350" s="4">
        <v>42782.749305555553</v>
      </c>
      <c r="J1350" s="2" t="s">
        <v>12685</v>
      </c>
    </row>
    <row r="1351" spans="1:10" ht="135" x14ac:dyDescent="0.25">
      <c r="A1351" s="2" t="s">
        <v>417</v>
      </c>
      <c r="D1351" s="2" t="s">
        <v>2789</v>
      </c>
      <c r="E1351" s="2" t="s">
        <v>156</v>
      </c>
      <c r="F1351" s="3">
        <v>43878</v>
      </c>
      <c r="G1351" s="2" t="str">
        <f>"9781469653464"</f>
        <v>9781469653464</v>
      </c>
      <c r="H1351" s="2" t="s">
        <v>14</v>
      </c>
      <c r="I1351" s="4">
        <v>43854.729166666664</v>
      </c>
      <c r="J1351" s="2" t="s">
        <v>2790</v>
      </c>
    </row>
    <row r="1352" spans="1:10" ht="135" x14ac:dyDescent="0.25">
      <c r="A1352" s="2" t="s">
        <v>417</v>
      </c>
      <c r="B1352" s="2">
        <v>354.66</v>
      </c>
      <c r="C1352" s="2" t="s">
        <v>7808</v>
      </c>
      <c r="D1352" s="2" t="s">
        <v>7807</v>
      </c>
      <c r="E1352" s="2" t="s">
        <v>256</v>
      </c>
      <c r="F1352" s="3">
        <v>41944</v>
      </c>
      <c r="G1352" s="2" t="str">
        <f>"9780821445075"</f>
        <v>9780821445075</v>
      </c>
      <c r="H1352" s="2" t="s">
        <v>14</v>
      </c>
      <c r="I1352" s="4">
        <v>43388.561111111114</v>
      </c>
      <c r="J1352" s="2" t="s">
        <v>7809</v>
      </c>
    </row>
    <row r="1353" spans="1:10" ht="135" x14ac:dyDescent="0.25">
      <c r="A1353" s="2" t="s">
        <v>417</v>
      </c>
      <c r="B1353" s="2" t="s">
        <v>3337</v>
      </c>
      <c r="C1353" s="2" t="s">
        <v>3338</v>
      </c>
      <c r="D1353" s="2" t="s">
        <v>3336</v>
      </c>
      <c r="E1353" s="2" t="s">
        <v>627</v>
      </c>
      <c r="F1353" s="3">
        <v>42490</v>
      </c>
      <c r="G1353" s="2" t="str">
        <f>"9789633861158"</f>
        <v>9789633861158</v>
      </c>
      <c r="H1353" s="2" t="s">
        <v>14</v>
      </c>
      <c r="I1353" s="4">
        <v>43789.442361111112</v>
      </c>
      <c r="J1353" s="2" t="s">
        <v>3339</v>
      </c>
    </row>
    <row r="1354" spans="1:10" ht="135" x14ac:dyDescent="0.25">
      <c r="A1354" s="2" t="s">
        <v>417</v>
      </c>
      <c r="B1354" s="2">
        <v>327.73056000000003</v>
      </c>
      <c r="C1354" s="2" t="s">
        <v>8222</v>
      </c>
      <c r="D1354" s="2" t="s">
        <v>8221</v>
      </c>
      <c r="E1354" s="2" t="s">
        <v>156</v>
      </c>
      <c r="F1354" s="3">
        <v>42492</v>
      </c>
      <c r="G1354" s="2" t="str">
        <f>"9781469628042"</f>
        <v>9781469628042</v>
      </c>
      <c r="H1354" s="2" t="s">
        <v>14</v>
      </c>
      <c r="I1354" s="4">
        <v>43335.473611111112</v>
      </c>
      <c r="J1354" s="2" t="s">
        <v>8223</v>
      </c>
    </row>
    <row r="1355" spans="1:10" ht="135" x14ac:dyDescent="0.25">
      <c r="A1355" s="2" t="s">
        <v>417</v>
      </c>
      <c r="B1355" s="2">
        <v>320.08687207299999</v>
      </c>
      <c r="C1355" s="2" t="s">
        <v>336</v>
      </c>
      <c r="D1355" s="2" t="s">
        <v>2362</v>
      </c>
      <c r="E1355" s="2" t="s">
        <v>531</v>
      </c>
      <c r="F1355" s="3">
        <v>43129</v>
      </c>
      <c r="G1355" s="2" t="str">
        <f>"9780809336401"</f>
        <v>9780809336401</v>
      </c>
      <c r="H1355" s="2" t="s">
        <v>14</v>
      </c>
      <c r="I1355" s="4">
        <v>43890.615277777775</v>
      </c>
      <c r="J1355" s="2" t="s">
        <v>2363</v>
      </c>
    </row>
    <row r="1356" spans="1:10" ht="135" x14ac:dyDescent="0.25">
      <c r="A1356" s="2" t="s">
        <v>417</v>
      </c>
      <c r="B1356" s="2">
        <v>327.20920000000001</v>
      </c>
      <c r="C1356" s="2" t="s">
        <v>11530</v>
      </c>
      <c r="D1356" s="2" t="s">
        <v>11529</v>
      </c>
      <c r="E1356" s="2" t="s">
        <v>4660</v>
      </c>
      <c r="F1356" s="3">
        <v>41827</v>
      </c>
      <c r="G1356" s="2" t="str">
        <f>"9780813163154"</f>
        <v>9780813163154</v>
      </c>
      <c r="H1356" s="2" t="s">
        <v>14</v>
      </c>
      <c r="I1356" s="4">
        <v>42936.65</v>
      </c>
      <c r="J1356" s="2" t="s">
        <v>11531</v>
      </c>
    </row>
    <row r="1357" spans="1:10" ht="135" x14ac:dyDescent="0.25">
      <c r="A1357" s="2" t="s">
        <v>4210</v>
      </c>
      <c r="D1357" s="2" t="s">
        <v>4209</v>
      </c>
      <c r="E1357" s="2" t="s">
        <v>69</v>
      </c>
      <c r="F1357" s="3">
        <v>43430</v>
      </c>
      <c r="G1357" s="2" t="str">
        <f>"9780253038203"</f>
        <v>9780253038203</v>
      </c>
      <c r="H1357" s="2" t="s">
        <v>14</v>
      </c>
      <c r="I1357" s="4">
        <v>43694.384027777778</v>
      </c>
      <c r="J1357" s="2" t="s">
        <v>4211</v>
      </c>
    </row>
    <row r="1358" spans="1:10" ht="135" x14ac:dyDescent="0.25">
      <c r="A1358" s="2" t="s">
        <v>4210</v>
      </c>
      <c r="D1358" s="2" t="s">
        <v>8736</v>
      </c>
      <c r="E1358" s="2" t="s">
        <v>69</v>
      </c>
      <c r="F1358" s="3">
        <v>43201</v>
      </c>
      <c r="G1358" s="2" t="str">
        <f>"9780253033260"</f>
        <v>9780253033260</v>
      </c>
      <c r="H1358" s="2" t="s">
        <v>14</v>
      </c>
      <c r="I1358" s="4">
        <v>43259</v>
      </c>
      <c r="J1358" s="2" t="s">
        <v>8737</v>
      </c>
    </row>
    <row r="1359" spans="1:10" ht="135" x14ac:dyDescent="0.25">
      <c r="A1359" s="2" t="s">
        <v>706</v>
      </c>
      <c r="B1359" s="2">
        <v>201.72</v>
      </c>
      <c r="C1359" s="2" t="s">
        <v>20</v>
      </c>
      <c r="D1359" s="2" t="s">
        <v>10574</v>
      </c>
      <c r="E1359" s="2" t="s">
        <v>37</v>
      </c>
      <c r="F1359" s="3">
        <v>42640</v>
      </c>
      <c r="G1359" s="2" t="str">
        <f>"9783319325675"</f>
        <v>9783319325675</v>
      </c>
      <c r="H1359" s="2" t="s">
        <v>14</v>
      </c>
      <c r="I1359" s="4">
        <v>43049.381944444445</v>
      </c>
      <c r="J1359" s="2" t="s">
        <v>10575</v>
      </c>
    </row>
    <row r="1360" spans="1:10" ht="135" x14ac:dyDescent="0.25">
      <c r="A1360" s="2" t="s">
        <v>706</v>
      </c>
      <c r="B1360" s="2">
        <v>297.08199999999999</v>
      </c>
      <c r="C1360" s="2" t="s">
        <v>7546</v>
      </c>
      <c r="D1360" s="2" t="s">
        <v>7545</v>
      </c>
      <c r="E1360" s="2" t="s">
        <v>1111</v>
      </c>
      <c r="F1360" s="3">
        <v>42583</v>
      </c>
      <c r="G1360" s="2" t="str">
        <f>"9781942658115"</f>
        <v>9781942658115</v>
      </c>
      <c r="H1360" s="2" t="s">
        <v>14</v>
      </c>
      <c r="I1360" s="4">
        <v>43409.449305555558</v>
      </c>
      <c r="J1360" s="2" t="s">
        <v>7547</v>
      </c>
    </row>
    <row r="1361" spans="1:10" ht="135" x14ac:dyDescent="0.25">
      <c r="A1361" s="2" t="s">
        <v>706</v>
      </c>
      <c r="B1361" s="2" t="s">
        <v>707</v>
      </c>
      <c r="C1361" s="2" t="s">
        <v>708</v>
      </c>
      <c r="D1361" s="2" t="s">
        <v>704</v>
      </c>
      <c r="E1361" s="2" t="s">
        <v>705</v>
      </c>
      <c r="F1361" s="3">
        <v>43108</v>
      </c>
      <c r="G1361" s="2" t="str">
        <f>"9781400888047"</f>
        <v>9781400888047</v>
      </c>
      <c r="H1361" s="2" t="s">
        <v>14</v>
      </c>
      <c r="I1361" s="4">
        <v>43997.652777777781</v>
      </c>
      <c r="J1361" s="2" t="s">
        <v>709</v>
      </c>
    </row>
    <row r="1362" spans="1:10" ht="165" x14ac:dyDescent="0.25">
      <c r="A1362" s="2" t="s">
        <v>706</v>
      </c>
      <c r="B1362" s="2">
        <v>299.7</v>
      </c>
      <c r="C1362" s="2" t="s">
        <v>6949</v>
      </c>
      <c r="D1362" s="2" t="s">
        <v>6948</v>
      </c>
      <c r="E1362" s="2" t="s">
        <v>156</v>
      </c>
      <c r="F1362" s="3">
        <v>41750</v>
      </c>
      <c r="G1362" s="2" t="str">
        <f>"9781469612935"</f>
        <v>9781469612935</v>
      </c>
      <c r="H1362" s="2" t="s">
        <v>14</v>
      </c>
      <c r="I1362" s="4">
        <v>43473.593055555553</v>
      </c>
      <c r="J1362" s="2" t="s">
        <v>6950</v>
      </c>
    </row>
    <row r="1363" spans="1:10" ht="135" x14ac:dyDescent="0.25">
      <c r="A1363" s="2" t="s">
        <v>706</v>
      </c>
      <c r="B1363" s="2">
        <v>973.04960730000005</v>
      </c>
      <c r="C1363" s="2" t="s">
        <v>8970</v>
      </c>
      <c r="D1363" s="2" t="s">
        <v>8969</v>
      </c>
      <c r="E1363" s="2" t="s">
        <v>130</v>
      </c>
      <c r="F1363" s="3">
        <v>42438</v>
      </c>
      <c r="G1363" s="2" t="str">
        <f>"9780813055701"</f>
        <v>9780813055701</v>
      </c>
      <c r="H1363" s="2" t="s">
        <v>14</v>
      </c>
      <c r="I1363" s="4">
        <v>43233.348611111112</v>
      </c>
      <c r="J1363" s="2" t="s">
        <v>8971</v>
      </c>
    </row>
    <row r="1364" spans="1:10" ht="135" x14ac:dyDescent="0.25">
      <c r="A1364" s="2" t="s">
        <v>706</v>
      </c>
      <c r="B1364" s="2">
        <v>933</v>
      </c>
      <c r="C1364" s="2" t="s">
        <v>12878</v>
      </c>
      <c r="D1364" s="2" t="s">
        <v>12877</v>
      </c>
      <c r="E1364" s="2" t="s">
        <v>2089</v>
      </c>
      <c r="F1364" s="3">
        <v>39022</v>
      </c>
      <c r="G1364" s="2" t="str">
        <f>"9781575065793"</f>
        <v>9781575065793</v>
      </c>
      <c r="H1364" s="2" t="s">
        <v>14</v>
      </c>
      <c r="I1364" s="4">
        <v>42764.584027777775</v>
      </c>
      <c r="J1364" s="2" t="s">
        <v>12879</v>
      </c>
    </row>
    <row r="1365" spans="1:10" ht="135" x14ac:dyDescent="0.25">
      <c r="A1365" s="2" t="s">
        <v>706</v>
      </c>
      <c r="B1365" s="2" t="s">
        <v>10043</v>
      </c>
      <c r="C1365" s="2" t="s">
        <v>10044</v>
      </c>
      <c r="D1365" s="2" t="s">
        <v>10042</v>
      </c>
      <c r="E1365" s="2" t="s">
        <v>526</v>
      </c>
      <c r="F1365" s="3">
        <v>41821</v>
      </c>
      <c r="G1365" s="2" t="str">
        <f>"9780292756953"</f>
        <v>9780292756953</v>
      </c>
      <c r="H1365" s="2" t="s">
        <v>14</v>
      </c>
      <c r="I1365" s="4">
        <v>43109.429861111108</v>
      </c>
      <c r="J1365" s="2" t="s">
        <v>10045</v>
      </c>
    </row>
    <row r="1366" spans="1:10" ht="150" x14ac:dyDescent="0.25">
      <c r="A1366" s="2" t="s">
        <v>706</v>
      </c>
      <c r="D1366" s="2" t="s">
        <v>2627</v>
      </c>
      <c r="E1366" s="2" t="s">
        <v>54</v>
      </c>
      <c r="F1366" s="3">
        <v>43900</v>
      </c>
      <c r="G1366" s="2" t="str">
        <f>"9781503611177"</f>
        <v>9781503611177</v>
      </c>
      <c r="H1366" s="2" t="s">
        <v>14</v>
      </c>
      <c r="I1366" s="4">
        <v>43872.460416666669</v>
      </c>
      <c r="J1366" s="2" t="s">
        <v>2628</v>
      </c>
    </row>
    <row r="1367" spans="1:10" ht="180" x14ac:dyDescent="0.25">
      <c r="A1367" s="2" t="s">
        <v>706</v>
      </c>
      <c r="B1367" s="2" t="s">
        <v>12651</v>
      </c>
      <c r="C1367" s="2" t="s">
        <v>12652</v>
      </c>
      <c r="D1367" s="2" t="s">
        <v>12650</v>
      </c>
      <c r="E1367" s="2" t="s">
        <v>526</v>
      </c>
      <c r="F1367" s="3">
        <v>42705</v>
      </c>
      <c r="G1367" s="2" t="str">
        <f>"9781477309964"</f>
        <v>9781477309964</v>
      </c>
      <c r="H1367" s="2" t="s">
        <v>14</v>
      </c>
      <c r="I1367" s="4">
        <v>42786.54791666667</v>
      </c>
      <c r="J1367" s="2" t="s">
        <v>12653</v>
      </c>
    </row>
    <row r="1368" spans="1:10" ht="135" x14ac:dyDescent="0.25">
      <c r="A1368" s="2" t="s">
        <v>706</v>
      </c>
      <c r="B1368" s="2">
        <v>271.3</v>
      </c>
      <c r="C1368" s="2" t="s">
        <v>20</v>
      </c>
      <c r="D1368" s="2" t="s">
        <v>3002</v>
      </c>
      <c r="E1368" s="2" t="s">
        <v>37</v>
      </c>
      <c r="F1368" s="3">
        <v>42719</v>
      </c>
      <c r="G1368" s="2" t="str">
        <f>"9783319430232"</f>
        <v>9783319430232</v>
      </c>
      <c r="H1368" s="2" t="s">
        <v>14</v>
      </c>
      <c r="I1368" s="4">
        <v>43835.010416666664</v>
      </c>
      <c r="J1368" s="2" t="s">
        <v>3003</v>
      </c>
    </row>
    <row r="1369" spans="1:10" ht="135" x14ac:dyDescent="0.25">
      <c r="A1369" s="2" t="s">
        <v>706</v>
      </c>
      <c r="B1369" s="2">
        <v>955.05409199999997</v>
      </c>
      <c r="C1369" s="2" t="s">
        <v>2041</v>
      </c>
      <c r="D1369" s="2" t="s">
        <v>2040</v>
      </c>
      <c r="E1369" s="2" t="s">
        <v>268</v>
      </c>
      <c r="F1369" s="3">
        <v>43886</v>
      </c>
      <c r="G1369" s="2" t="str">
        <f>"9780815737940"</f>
        <v>9780815737940</v>
      </c>
      <c r="H1369" s="2" t="s">
        <v>14</v>
      </c>
      <c r="I1369" s="4">
        <v>43916.64166666667</v>
      </c>
      <c r="J1369" s="2" t="s">
        <v>2042</v>
      </c>
    </row>
    <row r="1370" spans="1:10" ht="210" x14ac:dyDescent="0.25">
      <c r="A1370" s="2" t="s">
        <v>706</v>
      </c>
      <c r="B1370" s="2">
        <v>221.95</v>
      </c>
      <c r="C1370" s="2" t="s">
        <v>2259</v>
      </c>
      <c r="D1370" s="2" t="s">
        <v>2258</v>
      </c>
      <c r="E1370" s="2" t="s">
        <v>370</v>
      </c>
      <c r="F1370" s="3">
        <v>43721</v>
      </c>
      <c r="G1370" s="2" t="str">
        <f>"9780884144007"</f>
        <v>9780884144007</v>
      </c>
      <c r="H1370" s="2" t="s">
        <v>14</v>
      </c>
      <c r="I1370" s="4">
        <v>43896.82708333333</v>
      </c>
      <c r="J1370" s="2" t="s">
        <v>2260</v>
      </c>
    </row>
    <row r="1371" spans="1:10" ht="150" x14ac:dyDescent="0.25">
      <c r="A1371" s="2" t="s">
        <v>706</v>
      </c>
      <c r="B1371" s="2">
        <v>974.76404100000002</v>
      </c>
      <c r="C1371" s="2" t="s">
        <v>4222</v>
      </c>
      <c r="D1371" s="2" t="s">
        <v>4221</v>
      </c>
      <c r="E1371" s="2" t="s">
        <v>310</v>
      </c>
      <c r="F1371" s="3">
        <v>43167</v>
      </c>
      <c r="G1371" s="2" t="str">
        <f>"9780815654414"</f>
        <v>9780815654414</v>
      </c>
      <c r="H1371" s="2" t="s">
        <v>14</v>
      </c>
      <c r="I1371" s="4">
        <v>43691.397222222222</v>
      </c>
      <c r="J1371" s="2" t="s">
        <v>4223</v>
      </c>
    </row>
    <row r="1372" spans="1:10" ht="135" x14ac:dyDescent="0.25">
      <c r="A1372" s="2" t="s">
        <v>706</v>
      </c>
      <c r="B1372" s="2">
        <v>967.62</v>
      </c>
      <c r="C1372" s="2" t="s">
        <v>2946</v>
      </c>
      <c r="D1372" s="2" t="s">
        <v>2944</v>
      </c>
      <c r="E1372" s="2" t="s">
        <v>2945</v>
      </c>
      <c r="F1372" s="3">
        <v>41609</v>
      </c>
      <c r="G1372" s="2" t="str">
        <f>"9789966028471"</f>
        <v>9789966028471</v>
      </c>
      <c r="H1372" s="2" t="s">
        <v>14</v>
      </c>
      <c r="I1372" s="4">
        <v>43840.537499999999</v>
      </c>
      <c r="J1372" s="2" t="s">
        <v>2947</v>
      </c>
    </row>
    <row r="1373" spans="1:10" ht="135" x14ac:dyDescent="0.25">
      <c r="A1373" s="2" t="s">
        <v>706</v>
      </c>
      <c r="B1373" s="2">
        <v>299.7</v>
      </c>
      <c r="C1373" s="2" t="s">
        <v>4800</v>
      </c>
      <c r="D1373" s="2" t="s">
        <v>4799</v>
      </c>
      <c r="E1373" s="2" t="s">
        <v>216</v>
      </c>
      <c r="F1373" s="3">
        <v>42979</v>
      </c>
      <c r="G1373" s="2" t="str">
        <f>"9781438466101"</f>
        <v>9781438466101</v>
      </c>
      <c r="H1373" s="2" t="s">
        <v>14</v>
      </c>
      <c r="I1373" s="4">
        <v>43624.95208333333</v>
      </c>
      <c r="J1373" s="2" t="s">
        <v>4801</v>
      </c>
    </row>
    <row r="1374" spans="1:10" ht="135" x14ac:dyDescent="0.25">
      <c r="A1374" s="2" t="s">
        <v>3617</v>
      </c>
      <c r="D1374" s="2" t="s">
        <v>3616</v>
      </c>
      <c r="E1374" s="2" t="s">
        <v>69</v>
      </c>
      <c r="F1374" s="3">
        <v>43602</v>
      </c>
      <c r="G1374" s="2" t="str">
        <f>"9780253042637"</f>
        <v>9780253042637</v>
      </c>
      <c r="H1374" s="2" t="s">
        <v>14</v>
      </c>
      <c r="I1374" s="4">
        <v>43770.756944444445</v>
      </c>
      <c r="J1374" s="2" t="s">
        <v>3618</v>
      </c>
    </row>
    <row r="1375" spans="1:10" ht="135" x14ac:dyDescent="0.25">
      <c r="A1375" s="2" t="s">
        <v>114</v>
      </c>
      <c r="B1375" s="2" t="s">
        <v>6092</v>
      </c>
      <c r="C1375" s="2" t="s">
        <v>6093</v>
      </c>
      <c r="D1375" s="2" t="s">
        <v>6091</v>
      </c>
      <c r="E1375" s="2" t="s">
        <v>1072</v>
      </c>
      <c r="F1375" s="3">
        <v>40513</v>
      </c>
      <c r="G1375" s="2" t="str">
        <f>"9789987080779"</f>
        <v>9789987080779</v>
      </c>
      <c r="H1375" s="2" t="s">
        <v>14</v>
      </c>
      <c r="I1375" s="4">
        <v>43542.451388888891</v>
      </c>
      <c r="J1375" s="2" t="s">
        <v>6094</v>
      </c>
    </row>
    <row r="1376" spans="1:10" ht="135" x14ac:dyDescent="0.25">
      <c r="A1376" s="2" t="s">
        <v>114</v>
      </c>
      <c r="D1376" s="2" t="s">
        <v>1650</v>
      </c>
      <c r="E1376" s="2" t="s">
        <v>46</v>
      </c>
      <c r="F1376" s="3">
        <v>43922</v>
      </c>
      <c r="G1376" s="2" t="str">
        <f>"9781496220080"</f>
        <v>9781496220080</v>
      </c>
      <c r="H1376" s="2" t="s">
        <v>14</v>
      </c>
      <c r="I1376" s="4">
        <v>43934.674305555556</v>
      </c>
      <c r="J1376" s="2" t="s">
        <v>1651</v>
      </c>
    </row>
    <row r="1377" spans="1:10" ht="135" x14ac:dyDescent="0.25">
      <c r="A1377" s="2" t="s">
        <v>114</v>
      </c>
      <c r="B1377" s="2" t="s">
        <v>2887</v>
      </c>
      <c r="C1377" s="2" t="s">
        <v>2888</v>
      </c>
      <c r="D1377" s="2" t="s">
        <v>2886</v>
      </c>
      <c r="E1377" s="2" t="s">
        <v>54</v>
      </c>
      <c r="F1377" s="3">
        <v>42829</v>
      </c>
      <c r="G1377" s="2" t="str">
        <f>"9781503601475"</f>
        <v>9781503601475</v>
      </c>
      <c r="H1377" s="2" t="s">
        <v>14</v>
      </c>
      <c r="I1377" s="4">
        <v>43846.493750000001</v>
      </c>
      <c r="J1377" s="2" t="s">
        <v>2889</v>
      </c>
    </row>
    <row r="1378" spans="1:10" ht="135" x14ac:dyDescent="0.25">
      <c r="A1378" s="2" t="s">
        <v>114</v>
      </c>
      <c r="D1378" s="2" t="s">
        <v>1329</v>
      </c>
      <c r="E1378" s="2" t="s">
        <v>156</v>
      </c>
      <c r="F1378" s="3">
        <v>43906</v>
      </c>
      <c r="G1378" s="2" t="str">
        <f>"9781469655109"</f>
        <v>9781469655109</v>
      </c>
      <c r="H1378" s="2" t="s">
        <v>14</v>
      </c>
      <c r="I1378" s="4">
        <v>43948.97152777778</v>
      </c>
      <c r="J1378" s="2" t="s">
        <v>1330</v>
      </c>
    </row>
    <row r="1379" spans="1:10" ht="135" x14ac:dyDescent="0.25">
      <c r="A1379" s="2" t="s">
        <v>114</v>
      </c>
      <c r="B1379" s="2">
        <v>305.83936060000002</v>
      </c>
      <c r="C1379" s="2" t="s">
        <v>4878</v>
      </c>
      <c r="D1379" s="2" t="s">
        <v>4877</v>
      </c>
      <c r="E1379" s="2" t="s">
        <v>3950</v>
      </c>
      <c r="F1379" s="3">
        <v>43206</v>
      </c>
      <c r="G1379" s="2" t="str">
        <f>"9781869143930"</f>
        <v>9781869143930</v>
      </c>
      <c r="H1379" s="2" t="s">
        <v>14</v>
      </c>
      <c r="I1379" s="4">
        <v>43619.07708333333</v>
      </c>
      <c r="J1379" s="2" t="s">
        <v>4879</v>
      </c>
    </row>
    <row r="1380" spans="1:10" ht="135" x14ac:dyDescent="0.25">
      <c r="A1380" s="2" t="s">
        <v>114</v>
      </c>
      <c r="B1380" s="2" t="s">
        <v>11007</v>
      </c>
      <c r="C1380" s="2" t="s">
        <v>11008</v>
      </c>
      <c r="D1380" s="2" t="s">
        <v>11006</v>
      </c>
      <c r="E1380" s="2" t="s">
        <v>578</v>
      </c>
      <c r="F1380" s="3">
        <v>42375</v>
      </c>
      <c r="G1380" s="2" t="str">
        <f>"9780252098093"</f>
        <v>9780252098093</v>
      </c>
      <c r="H1380" s="2" t="s">
        <v>14</v>
      </c>
      <c r="I1380" s="4">
        <v>43023.736111111109</v>
      </c>
      <c r="J1380" s="2" t="s">
        <v>11009</v>
      </c>
    </row>
    <row r="1381" spans="1:10" ht="180" x14ac:dyDescent="0.25">
      <c r="A1381" s="2" t="s">
        <v>114</v>
      </c>
      <c r="B1381" s="2">
        <v>306.09730904700001</v>
      </c>
      <c r="C1381" s="2" t="s">
        <v>7043</v>
      </c>
      <c r="D1381" s="2" t="s">
        <v>7042</v>
      </c>
      <c r="E1381" s="2" t="s">
        <v>156</v>
      </c>
      <c r="F1381" s="3">
        <v>42842</v>
      </c>
      <c r="G1381" s="2" t="str">
        <f>"9781469632933"</f>
        <v>9781469632933</v>
      </c>
      <c r="H1381" s="2" t="s">
        <v>14</v>
      </c>
      <c r="I1381" s="4">
        <v>43455.54791666667</v>
      </c>
      <c r="J1381" s="2" t="s">
        <v>7044</v>
      </c>
    </row>
    <row r="1382" spans="1:10" ht="135" x14ac:dyDescent="0.25">
      <c r="A1382" s="2" t="s">
        <v>114</v>
      </c>
      <c r="B1382" s="2" t="s">
        <v>9734</v>
      </c>
      <c r="C1382" s="2" t="s">
        <v>9735</v>
      </c>
      <c r="D1382" s="2" t="s">
        <v>9733</v>
      </c>
      <c r="E1382" s="2" t="s">
        <v>156</v>
      </c>
      <c r="F1382" s="3">
        <v>42625</v>
      </c>
      <c r="G1382" s="2" t="str">
        <f>"9781469628868"</f>
        <v>9781469628868</v>
      </c>
      <c r="H1382" s="2" t="s">
        <v>14</v>
      </c>
      <c r="I1382" s="4">
        <v>43133.571527777778</v>
      </c>
      <c r="J1382" s="2" t="s">
        <v>9736</v>
      </c>
    </row>
    <row r="1383" spans="1:10" ht="135" x14ac:dyDescent="0.25">
      <c r="A1383" s="2" t="s">
        <v>114</v>
      </c>
      <c r="B1383" s="2" t="s">
        <v>1777</v>
      </c>
      <c r="C1383" s="2" t="s">
        <v>1778</v>
      </c>
      <c r="D1383" s="2" t="s">
        <v>1776</v>
      </c>
      <c r="E1383" s="2" t="s">
        <v>322</v>
      </c>
      <c r="F1383" s="3">
        <v>41774</v>
      </c>
      <c r="G1383" s="2" t="str">
        <f>"9780820343228"</f>
        <v>9780820343228</v>
      </c>
      <c r="H1383" s="2" t="s">
        <v>14</v>
      </c>
      <c r="I1383" s="4">
        <v>43928.431250000001</v>
      </c>
      <c r="J1383" s="2" t="s">
        <v>1779</v>
      </c>
    </row>
    <row r="1384" spans="1:10" ht="135" x14ac:dyDescent="0.25">
      <c r="A1384" s="2" t="s">
        <v>114</v>
      </c>
      <c r="B1384" s="2">
        <v>304.20968970000001</v>
      </c>
      <c r="C1384" s="2" t="s">
        <v>20</v>
      </c>
      <c r="D1384" s="2" t="s">
        <v>1780</v>
      </c>
      <c r="E1384" s="2" t="s">
        <v>37</v>
      </c>
      <c r="F1384" s="3">
        <v>42719</v>
      </c>
      <c r="G1384" s="2" t="str">
        <f>"9783319452586"</f>
        <v>9783319452586</v>
      </c>
      <c r="H1384" s="2" t="s">
        <v>14</v>
      </c>
      <c r="I1384" s="4">
        <v>43928.42083333333</v>
      </c>
      <c r="J1384" s="2" t="s">
        <v>1781</v>
      </c>
    </row>
    <row r="1385" spans="1:10" ht="135" x14ac:dyDescent="0.25">
      <c r="A1385" s="2" t="s">
        <v>114</v>
      </c>
      <c r="B1385" s="2" t="s">
        <v>942</v>
      </c>
      <c r="C1385" s="2" t="s">
        <v>8020</v>
      </c>
      <c r="D1385" s="2" t="s">
        <v>8019</v>
      </c>
      <c r="E1385" s="2" t="s">
        <v>50</v>
      </c>
      <c r="F1385" s="3">
        <v>42705</v>
      </c>
      <c r="G1385" s="2" t="str">
        <f>"9780803296725"</f>
        <v>9780803296725</v>
      </c>
      <c r="H1385" s="2" t="s">
        <v>14</v>
      </c>
      <c r="I1385" s="4">
        <v>43364.307638888888</v>
      </c>
      <c r="J1385" s="2" t="s">
        <v>8021</v>
      </c>
    </row>
    <row r="1386" spans="1:10" ht="135" x14ac:dyDescent="0.25">
      <c r="A1386" s="2" t="s">
        <v>114</v>
      </c>
      <c r="B1386" s="2">
        <v>940.5</v>
      </c>
      <c r="C1386" s="2" t="s">
        <v>5897</v>
      </c>
      <c r="D1386" s="2" t="s">
        <v>5896</v>
      </c>
      <c r="E1386" s="2" t="s">
        <v>627</v>
      </c>
      <c r="F1386" s="3">
        <v>40087</v>
      </c>
      <c r="G1386" s="2" t="str">
        <f>"9789633860953"</f>
        <v>9789633860953</v>
      </c>
      <c r="H1386" s="2" t="s">
        <v>14</v>
      </c>
      <c r="I1386" s="4">
        <v>43560.731249999997</v>
      </c>
      <c r="J1386" s="2" t="s">
        <v>5898</v>
      </c>
    </row>
    <row r="1387" spans="1:10" ht="135" x14ac:dyDescent="0.25">
      <c r="A1387" s="2" t="s">
        <v>114</v>
      </c>
      <c r="B1387" s="2">
        <v>305.80097948999997</v>
      </c>
      <c r="C1387" s="2" t="s">
        <v>3389</v>
      </c>
      <c r="D1387" s="2" t="s">
        <v>3388</v>
      </c>
      <c r="E1387" s="2" t="s">
        <v>54</v>
      </c>
      <c r="F1387" s="3">
        <v>43795</v>
      </c>
      <c r="G1387" s="2" t="str">
        <f>"9781503610866"</f>
        <v>9781503610866</v>
      </c>
      <c r="H1387" s="2" t="s">
        <v>14</v>
      </c>
      <c r="I1387" s="4">
        <v>43785.890972222223</v>
      </c>
      <c r="J1387" s="2" t="s">
        <v>3390</v>
      </c>
    </row>
    <row r="1388" spans="1:10" ht="135" x14ac:dyDescent="0.25">
      <c r="A1388" s="2" t="s">
        <v>114</v>
      </c>
      <c r="B1388" s="2">
        <v>305.48</v>
      </c>
      <c r="C1388" s="2" t="s">
        <v>6683</v>
      </c>
      <c r="D1388" s="2" t="s">
        <v>6682</v>
      </c>
      <c r="E1388" s="2" t="s">
        <v>216</v>
      </c>
      <c r="F1388" s="3">
        <v>42491</v>
      </c>
      <c r="G1388" s="2" t="str">
        <f>"9781438460611"</f>
        <v>9781438460611</v>
      </c>
      <c r="H1388" s="2" t="s">
        <v>14</v>
      </c>
      <c r="I1388" s="4">
        <v>43496.629861111112</v>
      </c>
      <c r="J1388" s="2" t="s">
        <v>6684</v>
      </c>
    </row>
    <row r="1389" spans="1:10" ht="135" x14ac:dyDescent="0.25">
      <c r="A1389" s="2" t="s">
        <v>114</v>
      </c>
      <c r="B1389" s="2">
        <v>305.89607289999998</v>
      </c>
      <c r="C1389" s="2" t="s">
        <v>9951</v>
      </c>
      <c r="D1389" s="2" t="s">
        <v>9950</v>
      </c>
      <c r="E1389" s="2" t="s">
        <v>1698</v>
      </c>
      <c r="F1389" s="3">
        <v>40224</v>
      </c>
      <c r="G1389" s="2" t="str">
        <f>"9780674054165"</f>
        <v>9780674054165</v>
      </c>
      <c r="H1389" s="2" t="s">
        <v>14</v>
      </c>
      <c r="I1389" s="4">
        <v>43117.533333333333</v>
      </c>
      <c r="J1389" s="2" t="s">
        <v>9952</v>
      </c>
    </row>
    <row r="1390" spans="1:10" ht="150" x14ac:dyDescent="0.25">
      <c r="A1390" s="2" t="s">
        <v>114</v>
      </c>
      <c r="B1390" s="2" t="s">
        <v>8445</v>
      </c>
      <c r="C1390" s="2" t="s">
        <v>8446</v>
      </c>
      <c r="D1390" s="2" t="s">
        <v>8444</v>
      </c>
      <c r="E1390" s="2" t="s">
        <v>130</v>
      </c>
      <c r="F1390" s="3">
        <v>41070</v>
      </c>
      <c r="G1390" s="2" t="str">
        <f>"9780813043531"</f>
        <v>9780813043531</v>
      </c>
      <c r="H1390" s="2" t="s">
        <v>14</v>
      </c>
      <c r="I1390" s="4">
        <v>43305.87222222222</v>
      </c>
      <c r="J1390" s="2" t="s">
        <v>8447</v>
      </c>
    </row>
    <row r="1391" spans="1:10" ht="135" x14ac:dyDescent="0.25">
      <c r="A1391" s="2" t="s">
        <v>114</v>
      </c>
      <c r="B1391" s="2">
        <v>305.80094960000002</v>
      </c>
      <c r="C1391" s="2" t="s">
        <v>6388</v>
      </c>
      <c r="D1391" s="2" t="s">
        <v>6387</v>
      </c>
      <c r="E1391" s="2" t="s">
        <v>627</v>
      </c>
      <c r="F1391" s="3">
        <v>42614</v>
      </c>
      <c r="G1391" s="2" t="str">
        <f>"9789633861356"</f>
        <v>9789633861356</v>
      </c>
      <c r="H1391" s="2" t="s">
        <v>14</v>
      </c>
      <c r="I1391" s="4">
        <v>43521.377083333333</v>
      </c>
      <c r="J1391" s="2" t="s">
        <v>6389</v>
      </c>
    </row>
    <row r="1392" spans="1:10" ht="135" x14ac:dyDescent="0.25">
      <c r="A1392" s="2" t="s">
        <v>114</v>
      </c>
      <c r="B1392" s="2" t="s">
        <v>12696</v>
      </c>
      <c r="C1392" s="2" t="s">
        <v>12697</v>
      </c>
      <c r="D1392" s="2" t="s">
        <v>12695</v>
      </c>
      <c r="E1392" s="2" t="s">
        <v>526</v>
      </c>
      <c r="F1392" s="3">
        <v>42514</v>
      </c>
      <c r="G1392" s="2" t="str">
        <f>"9781477309230"</f>
        <v>9781477309230</v>
      </c>
      <c r="H1392" s="2" t="s">
        <v>14</v>
      </c>
      <c r="I1392" s="4">
        <v>42781.981249999997</v>
      </c>
      <c r="J1392" s="2" t="s">
        <v>12698</v>
      </c>
    </row>
    <row r="1393" spans="1:10" ht="135" x14ac:dyDescent="0.25">
      <c r="A1393" s="2" t="s">
        <v>114</v>
      </c>
      <c r="D1393" s="2" t="s">
        <v>7920</v>
      </c>
      <c r="E1393" s="2" t="s">
        <v>46</v>
      </c>
      <c r="F1393" s="3">
        <v>43374</v>
      </c>
      <c r="G1393" s="2" t="str">
        <f>"9781496210357"</f>
        <v>9781496210357</v>
      </c>
      <c r="H1393" s="2" t="s">
        <v>14</v>
      </c>
      <c r="I1393" s="4">
        <v>43376.575694444444</v>
      </c>
      <c r="J1393" s="2" t="s">
        <v>7921</v>
      </c>
    </row>
    <row r="1394" spans="1:10" ht="135" x14ac:dyDescent="0.25">
      <c r="A1394" s="2" t="s">
        <v>114</v>
      </c>
      <c r="B1394" s="2" t="s">
        <v>3309</v>
      </c>
      <c r="C1394" s="2" t="s">
        <v>1369</v>
      </c>
      <c r="D1394" s="2" t="s">
        <v>3308</v>
      </c>
      <c r="E1394" s="2" t="s">
        <v>578</v>
      </c>
      <c r="F1394" s="3">
        <v>42621</v>
      </c>
      <c r="G1394" s="2" t="str">
        <f>"9780252099014"</f>
        <v>9780252099014</v>
      </c>
      <c r="H1394" s="2" t="s">
        <v>14</v>
      </c>
      <c r="I1394" s="4">
        <v>43791.018055555556</v>
      </c>
      <c r="J1394" s="2" t="s">
        <v>3310</v>
      </c>
    </row>
    <row r="1395" spans="1:10" ht="135" x14ac:dyDescent="0.25">
      <c r="A1395" s="2" t="s">
        <v>114</v>
      </c>
      <c r="B1395" s="2" t="s">
        <v>13031</v>
      </c>
      <c r="C1395" s="2" t="s">
        <v>13032</v>
      </c>
      <c r="D1395" s="2" t="s">
        <v>13029</v>
      </c>
      <c r="E1395" s="2" t="s">
        <v>13030</v>
      </c>
      <c r="F1395" s="3">
        <v>36526</v>
      </c>
      <c r="G1395" s="2" t="str">
        <f>"9781459309074"</f>
        <v>9781459309074</v>
      </c>
      <c r="H1395" s="2" t="s">
        <v>14</v>
      </c>
      <c r="I1395" s="4">
        <v>42746.084027777775</v>
      </c>
      <c r="J1395" s="2" t="s">
        <v>13033</v>
      </c>
    </row>
    <row r="1396" spans="1:10" ht="150" x14ac:dyDescent="0.25">
      <c r="A1396" s="2" t="s">
        <v>114</v>
      </c>
      <c r="D1396" s="2" t="s">
        <v>113</v>
      </c>
      <c r="E1396" s="2" t="s">
        <v>54</v>
      </c>
      <c r="F1396" s="3">
        <v>44047</v>
      </c>
      <c r="G1396" s="2" t="str">
        <f>"9781503612600"</f>
        <v>9781503612600</v>
      </c>
      <c r="H1396" s="2" t="s">
        <v>14</v>
      </c>
      <c r="I1396" s="4">
        <v>44070.651388888888</v>
      </c>
      <c r="J1396" s="2" t="s">
        <v>115</v>
      </c>
    </row>
    <row r="1397" spans="1:10" ht="135" x14ac:dyDescent="0.25">
      <c r="A1397" s="2" t="s">
        <v>114</v>
      </c>
      <c r="B1397" s="2">
        <v>303.490905</v>
      </c>
      <c r="C1397" s="2" t="s">
        <v>3256</v>
      </c>
      <c r="D1397" s="2" t="s">
        <v>3255</v>
      </c>
      <c r="E1397" s="2" t="s">
        <v>73</v>
      </c>
      <c r="F1397" s="3">
        <v>43627</v>
      </c>
      <c r="G1397" s="2" t="str">
        <f>"9781452962535"</f>
        <v>9781452962535</v>
      </c>
      <c r="H1397" s="2" t="s">
        <v>14</v>
      </c>
      <c r="I1397" s="4">
        <v>43795.499305555553</v>
      </c>
      <c r="J1397" s="2" t="s">
        <v>3257</v>
      </c>
    </row>
    <row r="1398" spans="1:10" ht="135" x14ac:dyDescent="0.25">
      <c r="A1398" s="2" t="s">
        <v>114</v>
      </c>
      <c r="B1398" s="2" t="s">
        <v>7614</v>
      </c>
      <c r="C1398" s="2" t="s">
        <v>7615</v>
      </c>
      <c r="D1398" s="2" t="s">
        <v>7613</v>
      </c>
      <c r="E1398" s="2" t="s">
        <v>54</v>
      </c>
      <c r="F1398" s="3">
        <v>42983</v>
      </c>
      <c r="G1398" s="2" t="str">
        <f>"9781503603189"</f>
        <v>9781503603189</v>
      </c>
      <c r="H1398" s="2" t="s">
        <v>14</v>
      </c>
      <c r="I1398" s="4">
        <v>43404.929166666669</v>
      </c>
      <c r="J1398" s="2" t="s">
        <v>7616</v>
      </c>
    </row>
    <row r="1399" spans="1:10" ht="135" x14ac:dyDescent="0.25">
      <c r="A1399" s="2" t="s">
        <v>114</v>
      </c>
      <c r="B1399" s="2" t="s">
        <v>7614</v>
      </c>
      <c r="C1399" s="2" t="s">
        <v>7615</v>
      </c>
      <c r="D1399" s="2" t="s">
        <v>7613</v>
      </c>
      <c r="E1399" s="2" t="s">
        <v>54</v>
      </c>
      <c r="F1399" s="3">
        <v>42983</v>
      </c>
      <c r="G1399" s="2" t="str">
        <f>"9781503603189"</f>
        <v>9781503603189</v>
      </c>
      <c r="H1399" s="2" t="s">
        <v>14</v>
      </c>
      <c r="I1399" s="4">
        <v>43252.531944444447</v>
      </c>
      <c r="J1399" s="2" t="s">
        <v>7616</v>
      </c>
    </row>
    <row r="1400" spans="1:10" ht="135" x14ac:dyDescent="0.25">
      <c r="A1400" s="2" t="s">
        <v>114</v>
      </c>
      <c r="B1400" s="2" t="s">
        <v>7614</v>
      </c>
      <c r="C1400" s="2" t="s">
        <v>7615</v>
      </c>
      <c r="D1400" s="2" t="s">
        <v>7613</v>
      </c>
      <c r="E1400" s="2" t="s">
        <v>54</v>
      </c>
      <c r="F1400" s="3">
        <v>42983</v>
      </c>
      <c r="G1400" s="2" t="str">
        <f>"9781503603189"</f>
        <v>9781503603189</v>
      </c>
      <c r="H1400" s="2" t="s">
        <v>14</v>
      </c>
      <c r="I1400" s="4">
        <v>43252.34375</v>
      </c>
      <c r="J1400" s="2" t="s">
        <v>7616</v>
      </c>
    </row>
    <row r="1401" spans="1:10" ht="135" x14ac:dyDescent="0.25">
      <c r="A1401" s="2" t="s">
        <v>114</v>
      </c>
      <c r="B1401" s="2">
        <v>305.800973</v>
      </c>
      <c r="C1401" s="2" t="s">
        <v>7386</v>
      </c>
      <c r="D1401" s="2" t="s">
        <v>7385</v>
      </c>
      <c r="E1401" s="2" t="s">
        <v>73</v>
      </c>
      <c r="F1401" s="3">
        <v>42675</v>
      </c>
      <c r="G1401" s="2" t="str">
        <f>"9781452952543"</f>
        <v>9781452952543</v>
      </c>
      <c r="H1401" s="2" t="s">
        <v>14</v>
      </c>
      <c r="I1401" s="4">
        <v>43420.65</v>
      </c>
      <c r="J1401" s="2" t="s">
        <v>7387</v>
      </c>
    </row>
    <row r="1402" spans="1:10" ht="135" x14ac:dyDescent="0.25">
      <c r="A1402" s="2" t="s">
        <v>114</v>
      </c>
      <c r="B1402" s="2" t="s">
        <v>11433</v>
      </c>
      <c r="C1402" s="2" t="s">
        <v>11434</v>
      </c>
      <c r="D1402" s="2" t="s">
        <v>11432</v>
      </c>
      <c r="E1402" s="2" t="s">
        <v>284</v>
      </c>
      <c r="F1402" s="3">
        <v>42551</v>
      </c>
      <c r="G1402" s="2" t="str">
        <f>"9780824856816"</f>
        <v>9780824856816</v>
      </c>
      <c r="H1402" s="2" t="s">
        <v>14</v>
      </c>
      <c r="I1402" s="4">
        <v>42971.554166666669</v>
      </c>
      <c r="J1402" s="2" t="s">
        <v>11435</v>
      </c>
    </row>
    <row r="1403" spans="1:10" ht="135" x14ac:dyDescent="0.25">
      <c r="A1403" s="2" t="s">
        <v>114</v>
      </c>
      <c r="B1403" s="2">
        <v>305.89639499999998</v>
      </c>
      <c r="C1403" s="2" t="s">
        <v>11963</v>
      </c>
      <c r="D1403" s="2" t="s">
        <v>11962</v>
      </c>
      <c r="E1403" s="2" t="s">
        <v>256</v>
      </c>
      <c r="F1403" s="3">
        <v>42551</v>
      </c>
      <c r="G1403" s="2" t="str">
        <f>"9780821445563"</f>
        <v>9780821445563</v>
      </c>
      <c r="H1403" s="2" t="s">
        <v>14</v>
      </c>
      <c r="I1403" s="4">
        <v>42867.613194444442</v>
      </c>
      <c r="J1403" s="2" t="s">
        <v>11964</v>
      </c>
    </row>
    <row r="1404" spans="1:10" ht="135" x14ac:dyDescent="0.25">
      <c r="A1404" s="2" t="s">
        <v>114</v>
      </c>
      <c r="B1404" s="2">
        <v>305.89510719999998</v>
      </c>
      <c r="C1404" s="2" t="s">
        <v>3420</v>
      </c>
      <c r="D1404" s="2" t="s">
        <v>5529</v>
      </c>
      <c r="E1404" s="2" t="s">
        <v>578</v>
      </c>
      <c r="F1404" s="3">
        <v>42815</v>
      </c>
      <c r="G1404" s="2" t="str">
        <f>"9780252099359"</f>
        <v>9780252099359</v>
      </c>
      <c r="H1404" s="2" t="s">
        <v>14</v>
      </c>
      <c r="I1404" s="4">
        <v>43592.429166666669</v>
      </c>
      <c r="J1404" s="2" t="s">
        <v>5530</v>
      </c>
    </row>
    <row r="1405" spans="1:10" ht="135" x14ac:dyDescent="0.25">
      <c r="A1405" s="2" t="s">
        <v>114</v>
      </c>
      <c r="B1405" s="2" t="s">
        <v>8376</v>
      </c>
      <c r="C1405" s="2" t="s">
        <v>8377</v>
      </c>
      <c r="D1405" s="2" t="s">
        <v>8375</v>
      </c>
      <c r="E1405" s="2" t="s">
        <v>216</v>
      </c>
      <c r="F1405" s="3">
        <v>43191</v>
      </c>
      <c r="G1405" s="2" t="str">
        <f>"9781438468891"</f>
        <v>9781438468891</v>
      </c>
      <c r="H1405" s="2" t="s">
        <v>14</v>
      </c>
      <c r="I1405" s="4">
        <v>43314.6</v>
      </c>
      <c r="J1405" s="2" t="s">
        <v>8378</v>
      </c>
    </row>
    <row r="1406" spans="1:10" ht="135" x14ac:dyDescent="0.25">
      <c r="A1406" s="2" t="s">
        <v>114</v>
      </c>
      <c r="B1406" s="2" t="s">
        <v>9318</v>
      </c>
      <c r="C1406" s="2" t="s">
        <v>9319</v>
      </c>
      <c r="D1406" s="2" t="s">
        <v>9317</v>
      </c>
      <c r="E1406" s="2" t="s">
        <v>156</v>
      </c>
      <c r="F1406" s="3">
        <v>42898</v>
      </c>
      <c r="G1406" s="2" t="str">
        <f>"9781469632735"</f>
        <v>9781469632735</v>
      </c>
      <c r="H1406" s="2" t="s">
        <v>14</v>
      </c>
      <c r="I1406" s="4">
        <v>43186.432638888888</v>
      </c>
      <c r="J1406" s="2" t="s">
        <v>9320</v>
      </c>
    </row>
    <row r="1407" spans="1:10" ht="135" x14ac:dyDescent="0.25">
      <c r="A1407" s="2" t="s">
        <v>114</v>
      </c>
      <c r="B1407" s="2">
        <v>364.10973000000001</v>
      </c>
      <c r="C1407" s="2" t="s">
        <v>11969</v>
      </c>
      <c r="D1407" s="2" t="s">
        <v>11968</v>
      </c>
      <c r="E1407" s="2" t="s">
        <v>526</v>
      </c>
      <c r="F1407" s="3">
        <v>41379</v>
      </c>
      <c r="G1407" s="2" t="str">
        <f>"9780292749115"</f>
        <v>9780292749115</v>
      </c>
      <c r="H1407" s="2" t="s">
        <v>14</v>
      </c>
      <c r="I1407" s="4">
        <v>42866.868750000001</v>
      </c>
      <c r="J1407" s="2" t="s">
        <v>11970</v>
      </c>
    </row>
    <row r="1408" spans="1:10" ht="135" x14ac:dyDescent="0.25">
      <c r="A1408" s="2" t="s">
        <v>114</v>
      </c>
      <c r="B1408" s="2" t="s">
        <v>2592</v>
      </c>
      <c r="C1408" s="2" t="s">
        <v>2593</v>
      </c>
      <c r="D1408" s="2" t="s">
        <v>2591</v>
      </c>
      <c r="E1408" s="2" t="s">
        <v>73</v>
      </c>
      <c r="F1408" s="3">
        <v>34961</v>
      </c>
      <c r="G1408" s="2" t="str">
        <f>"9780816685325"</f>
        <v>9780816685325</v>
      </c>
      <c r="H1408" s="2" t="s">
        <v>14</v>
      </c>
      <c r="I1408" s="4">
        <v>43873.554166666669</v>
      </c>
      <c r="J1408" s="2" t="s">
        <v>2594</v>
      </c>
    </row>
    <row r="1409" spans="1:10" ht="135" x14ac:dyDescent="0.25">
      <c r="A1409" s="2" t="s">
        <v>114</v>
      </c>
      <c r="B1409" s="2" t="s">
        <v>3803</v>
      </c>
      <c r="C1409" s="2" t="s">
        <v>3804</v>
      </c>
      <c r="D1409" s="2" t="s">
        <v>3802</v>
      </c>
      <c r="E1409" s="2" t="s">
        <v>156</v>
      </c>
      <c r="F1409" s="3">
        <v>41579</v>
      </c>
      <c r="G1409" s="2" t="str">
        <f>"9781469611785"</f>
        <v>9781469611785</v>
      </c>
      <c r="H1409" s="2" t="s">
        <v>14</v>
      </c>
      <c r="I1409" s="4">
        <v>43754.663888888892</v>
      </c>
      <c r="J1409" s="2" t="s">
        <v>3805</v>
      </c>
    </row>
    <row r="1410" spans="1:10" ht="135" x14ac:dyDescent="0.25">
      <c r="A1410" s="2" t="s">
        <v>114</v>
      </c>
      <c r="B1410" s="2" t="s">
        <v>3527</v>
      </c>
      <c r="C1410" s="2" t="s">
        <v>3528</v>
      </c>
      <c r="D1410" s="2" t="s">
        <v>3526</v>
      </c>
      <c r="E1410" s="2" t="s">
        <v>156</v>
      </c>
      <c r="F1410" s="3">
        <v>42205</v>
      </c>
      <c r="G1410" s="2" t="str">
        <f>"9781469622828"</f>
        <v>9781469622828</v>
      </c>
      <c r="H1410" s="2" t="s">
        <v>14</v>
      </c>
      <c r="I1410" s="4">
        <v>43777.622916666667</v>
      </c>
      <c r="J1410" s="2" t="s">
        <v>3529</v>
      </c>
    </row>
    <row r="1411" spans="1:10" ht="135" x14ac:dyDescent="0.25">
      <c r="A1411" s="2" t="s">
        <v>114</v>
      </c>
      <c r="B1411" s="2">
        <v>305.80098099999998</v>
      </c>
      <c r="C1411" s="2" t="s">
        <v>3213</v>
      </c>
      <c r="D1411" s="2" t="s">
        <v>3212</v>
      </c>
      <c r="E1411" s="2" t="s">
        <v>526</v>
      </c>
      <c r="F1411" s="3">
        <v>42323</v>
      </c>
      <c r="G1411" s="2" t="str">
        <f>"9781477307717"</f>
        <v>9781477307717</v>
      </c>
      <c r="H1411" s="2" t="s">
        <v>14</v>
      </c>
      <c r="I1411" s="4">
        <v>43797.777083333334</v>
      </c>
      <c r="J1411" s="2" t="s">
        <v>3214</v>
      </c>
    </row>
    <row r="1412" spans="1:10" ht="135" x14ac:dyDescent="0.25">
      <c r="A1412" s="2" t="s">
        <v>114</v>
      </c>
      <c r="B1412" s="2">
        <v>303.48</v>
      </c>
      <c r="C1412" s="2" t="s">
        <v>10133</v>
      </c>
      <c r="D1412" s="2" t="s">
        <v>10132</v>
      </c>
      <c r="E1412" s="2" t="s">
        <v>58</v>
      </c>
      <c r="F1412" s="3">
        <v>42046</v>
      </c>
      <c r="G1412" s="2" t="str">
        <f>"9780299301033"</f>
        <v>9780299301033</v>
      </c>
      <c r="H1412" s="2" t="s">
        <v>14</v>
      </c>
      <c r="I1412" s="4">
        <v>43095.604861111111</v>
      </c>
      <c r="J1412" s="2" t="s">
        <v>10134</v>
      </c>
    </row>
    <row r="1413" spans="1:10" ht="195" x14ac:dyDescent="0.25">
      <c r="A1413" s="2" t="s">
        <v>114</v>
      </c>
      <c r="D1413" s="2" t="s">
        <v>2991</v>
      </c>
      <c r="E1413" s="2" t="s">
        <v>46</v>
      </c>
      <c r="F1413" s="3">
        <v>43862</v>
      </c>
      <c r="G1413" s="2" t="str">
        <f>"9781496219077"</f>
        <v>9781496219077</v>
      </c>
      <c r="H1413" s="2" t="s">
        <v>14</v>
      </c>
      <c r="I1413" s="4">
        <v>43835.865277777775</v>
      </c>
      <c r="J1413" s="2" t="s">
        <v>2992</v>
      </c>
    </row>
    <row r="1414" spans="1:10" ht="135" x14ac:dyDescent="0.25">
      <c r="A1414" s="2" t="s">
        <v>114</v>
      </c>
      <c r="B1414" s="2" t="s">
        <v>942</v>
      </c>
      <c r="C1414" s="2" t="s">
        <v>9415</v>
      </c>
      <c r="D1414" s="2" t="s">
        <v>9414</v>
      </c>
      <c r="E1414" s="2" t="s">
        <v>69</v>
      </c>
      <c r="F1414" s="3">
        <v>42347</v>
      </c>
      <c r="G1414" s="2" t="str">
        <f>"9780253018694"</f>
        <v>9780253018694</v>
      </c>
      <c r="H1414" s="2" t="s">
        <v>14</v>
      </c>
      <c r="I1414" s="4">
        <v>43170.649305555555</v>
      </c>
      <c r="J1414" s="2" t="s">
        <v>9416</v>
      </c>
    </row>
    <row r="1415" spans="1:10" ht="135" x14ac:dyDescent="0.25">
      <c r="A1415" s="2" t="s">
        <v>114</v>
      </c>
      <c r="B1415" s="2" t="s">
        <v>3933</v>
      </c>
      <c r="C1415" s="2" t="s">
        <v>3934</v>
      </c>
      <c r="D1415" s="2" t="s">
        <v>3932</v>
      </c>
      <c r="E1415" s="2" t="s">
        <v>156</v>
      </c>
      <c r="F1415" s="3">
        <v>43199</v>
      </c>
      <c r="G1415" s="2" t="str">
        <f>"9781469640570"</f>
        <v>9781469640570</v>
      </c>
      <c r="H1415" s="2" t="s">
        <v>14</v>
      </c>
      <c r="I1415" s="4">
        <v>43737.661805555559</v>
      </c>
      <c r="J1415" s="2" t="s">
        <v>3935</v>
      </c>
    </row>
    <row r="1416" spans="1:10" ht="135" x14ac:dyDescent="0.25">
      <c r="A1416" s="2" t="s">
        <v>114</v>
      </c>
      <c r="B1416" s="2">
        <v>305.80099516000001</v>
      </c>
      <c r="C1416" s="2" t="s">
        <v>1974</v>
      </c>
      <c r="D1416" s="2" t="s">
        <v>1973</v>
      </c>
      <c r="E1416" s="2" t="s">
        <v>89</v>
      </c>
      <c r="F1416" s="3">
        <v>43242</v>
      </c>
      <c r="G1416" s="2" t="str">
        <f>"9781785337598"</f>
        <v>9781785337598</v>
      </c>
      <c r="H1416" s="2" t="s">
        <v>14</v>
      </c>
      <c r="I1416" s="4">
        <v>43919.595138888886</v>
      </c>
      <c r="J1416" s="2" t="s">
        <v>1975</v>
      </c>
    </row>
    <row r="1417" spans="1:10" ht="135" x14ac:dyDescent="0.25">
      <c r="A1417" s="2" t="s">
        <v>114</v>
      </c>
      <c r="B1417" s="2">
        <v>943.08789999999999</v>
      </c>
      <c r="C1417" s="2" t="s">
        <v>153</v>
      </c>
      <c r="D1417" s="2" t="s">
        <v>8885</v>
      </c>
      <c r="E1417" s="2" t="s">
        <v>37</v>
      </c>
      <c r="F1417" s="3">
        <v>42745</v>
      </c>
      <c r="G1417" s="2" t="str">
        <f>"9783319429519"</f>
        <v>9783319429519</v>
      </c>
      <c r="H1417" s="2" t="s">
        <v>14</v>
      </c>
      <c r="I1417" s="4">
        <v>43243.496527777781</v>
      </c>
      <c r="J1417" s="2" t="s">
        <v>8886</v>
      </c>
    </row>
    <row r="1418" spans="1:10" ht="135" x14ac:dyDescent="0.25">
      <c r="A1418" s="2" t="s">
        <v>114</v>
      </c>
      <c r="B1418" s="2">
        <v>930.1</v>
      </c>
      <c r="C1418" s="2" t="s">
        <v>7502</v>
      </c>
      <c r="D1418" s="2" t="s">
        <v>7501</v>
      </c>
      <c r="E1418" s="2" t="s">
        <v>561</v>
      </c>
      <c r="F1418" s="3">
        <v>42016</v>
      </c>
      <c r="G1418" s="2" t="str">
        <f>"9789088902888"</f>
        <v>9789088902888</v>
      </c>
      <c r="H1418" s="2" t="s">
        <v>14</v>
      </c>
      <c r="I1418" s="4">
        <v>43411.832638888889</v>
      </c>
      <c r="J1418" s="2" t="s">
        <v>7503</v>
      </c>
    </row>
    <row r="1419" spans="1:10" ht="135" x14ac:dyDescent="0.25">
      <c r="A1419" s="2" t="s">
        <v>114</v>
      </c>
      <c r="B1419" s="2">
        <v>361.10953999999998</v>
      </c>
      <c r="C1419" s="2" t="s">
        <v>4292</v>
      </c>
      <c r="D1419" s="2" t="s">
        <v>4291</v>
      </c>
      <c r="E1419" s="2" t="s">
        <v>216</v>
      </c>
      <c r="F1419" s="3">
        <v>43466</v>
      </c>
      <c r="G1419" s="2" t="str">
        <f>"9781438474335"</f>
        <v>9781438474335</v>
      </c>
      <c r="H1419" s="2" t="s">
        <v>14</v>
      </c>
      <c r="I1419" s="4">
        <v>43684.665972222225</v>
      </c>
      <c r="J1419" s="2" t="s">
        <v>4293</v>
      </c>
    </row>
    <row r="1420" spans="1:10" ht="135" x14ac:dyDescent="0.25">
      <c r="A1420" s="2" t="s">
        <v>114</v>
      </c>
      <c r="B1420" s="2" t="s">
        <v>9451</v>
      </c>
      <c r="C1420" s="2" t="s">
        <v>9452</v>
      </c>
      <c r="D1420" s="2" t="s">
        <v>9450</v>
      </c>
      <c r="E1420" s="2" t="s">
        <v>284</v>
      </c>
      <c r="F1420" s="3">
        <v>42490</v>
      </c>
      <c r="G1420" s="2" t="str">
        <f>"9780824853754"</f>
        <v>9780824853754</v>
      </c>
      <c r="H1420" s="2" t="s">
        <v>14</v>
      </c>
      <c r="I1420" s="4">
        <v>43166.577777777777</v>
      </c>
      <c r="J1420" s="2" t="s">
        <v>9453</v>
      </c>
    </row>
    <row r="1421" spans="1:10" ht="165" x14ac:dyDescent="0.25">
      <c r="A1421" s="2" t="s">
        <v>114</v>
      </c>
      <c r="B1421" s="2">
        <v>305.80097640000002</v>
      </c>
      <c r="C1421" s="2" t="s">
        <v>2365</v>
      </c>
      <c r="D1421" s="2" t="s">
        <v>2364</v>
      </c>
      <c r="E1421" s="2" t="s">
        <v>156</v>
      </c>
      <c r="F1421" s="3">
        <v>41852</v>
      </c>
      <c r="G1421" s="2" t="str">
        <f>"9781469603193"</f>
        <v>9781469603193</v>
      </c>
      <c r="H1421" s="2" t="s">
        <v>14</v>
      </c>
      <c r="I1421" s="4">
        <v>43890.382638888892</v>
      </c>
      <c r="J1421" s="2" t="s">
        <v>2366</v>
      </c>
    </row>
    <row r="1422" spans="1:10" ht="135" x14ac:dyDescent="0.25">
      <c r="A1422" s="2" t="s">
        <v>114</v>
      </c>
      <c r="B1422" s="2">
        <v>306.09821099999903</v>
      </c>
      <c r="C1422" s="2" t="s">
        <v>10344</v>
      </c>
      <c r="D1422" s="2" t="s">
        <v>10343</v>
      </c>
      <c r="E1422" s="2" t="s">
        <v>221</v>
      </c>
      <c r="F1422" s="3">
        <v>42564</v>
      </c>
      <c r="G1422" s="2" t="str">
        <f>"9789888313754"</f>
        <v>9789888313754</v>
      </c>
      <c r="H1422" s="2" t="s">
        <v>14</v>
      </c>
      <c r="I1422" s="4">
        <v>43066.62777777778</v>
      </c>
      <c r="J1422" s="2" t="s">
        <v>10345</v>
      </c>
    </row>
    <row r="1423" spans="1:10" ht="135" x14ac:dyDescent="0.25">
      <c r="A1423" s="2" t="s">
        <v>114</v>
      </c>
      <c r="B1423" s="2">
        <v>305.800951</v>
      </c>
      <c r="C1423" s="2" t="s">
        <v>8836</v>
      </c>
      <c r="D1423" s="2" t="s">
        <v>8835</v>
      </c>
      <c r="E1423" s="2" t="s">
        <v>216</v>
      </c>
      <c r="F1423" s="3">
        <v>42826</v>
      </c>
      <c r="G1423" s="2" t="str">
        <f>"9781438464732"</f>
        <v>9781438464732</v>
      </c>
      <c r="H1423" s="2" t="s">
        <v>14</v>
      </c>
      <c r="I1423" s="4">
        <v>43248.727777777778</v>
      </c>
      <c r="J1423" s="2" t="s">
        <v>8837</v>
      </c>
    </row>
    <row r="1424" spans="1:10" ht="135" x14ac:dyDescent="0.25">
      <c r="A1424" s="2" t="s">
        <v>114</v>
      </c>
      <c r="B1424" s="2">
        <v>943.053</v>
      </c>
      <c r="C1424" s="2" t="s">
        <v>4598</v>
      </c>
      <c r="D1424" s="2" t="s">
        <v>4597</v>
      </c>
      <c r="E1424" s="2" t="s">
        <v>28</v>
      </c>
      <c r="F1424" s="3">
        <v>43570</v>
      </c>
      <c r="G1424" s="2" t="str">
        <f>"9780813942025"</f>
        <v>9780813942025</v>
      </c>
      <c r="H1424" s="2" t="s">
        <v>14</v>
      </c>
      <c r="I1424" s="4">
        <v>43645.902777777781</v>
      </c>
      <c r="J1424" s="2" t="s">
        <v>4599</v>
      </c>
    </row>
    <row r="1425" spans="1:10" ht="135" x14ac:dyDescent="0.25">
      <c r="A1425" s="2" t="s">
        <v>114</v>
      </c>
      <c r="B1425" s="2">
        <v>305.896073</v>
      </c>
      <c r="C1425" s="2" t="s">
        <v>307</v>
      </c>
      <c r="D1425" s="2" t="s">
        <v>306</v>
      </c>
      <c r="E1425" s="2" t="s">
        <v>156</v>
      </c>
      <c r="F1425" s="3">
        <v>43479</v>
      </c>
      <c r="G1425" s="2" t="str">
        <f>"9781469643717"</f>
        <v>9781469643717</v>
      </c>
      <c r="H1425" s="2" t="s">
        <v>14</v>
      </c>
      <c r="I1425" s="4">
        <v>44042.205555555556</v>
      </c>
      <c r="J1425" s="2" t="s">
        <v>308</v>
      </c>
    </row>
    <row r="1426" spans="1:10" ht="135" x14ac:dyDescent="0.25">
      <c r="A1426" s="2" t="s">
        <v>114</v>
      </c>
      <c r="B1426" s="2">
        <v>305.80091822000003</v>
      </c>
      <c r="C1426" s="2" t="s">
        <v>12108</v>
      </c>
      <c r="D1426" s="2" t="s">
        <v>12107</v>
      </c>
      <c r="E1426" s="2" t="s">
        <v>46</v>
      </c>
      <c r="F1426" s="3">
        <v>42491</v>
      </c>
      <c r="G1426" s="2" t="str">
        <f>"9780803288775"</f>
        <v>9780803288775</v>
      </c>
      <c r="H1426" s="2" t="s">
        <v>14</v>
      </c>
      <c r="I1426" s="4">
        <v>42850.981944444444</v>
      </c>
      <c r="J1426" s="2" t="s">
        <v>12109</v>
      </c>
    </row>
    <row r="1427" spans="1:10" ht="135" x14ac:dyDescent="0.25">
      <c r="A1427" s="2" t="s">
        <v>114</v>
      </c>
      <c r="B1427" s="2">
        <v>940.2</v>
      </c>
      <c r="C1427" s="2" t="s">
        <v>7611</v>
      </c>
      <c r="D1427" s="2" t="s">
        <v>11990</v>
      </c>
      <c r="E1427" s="2" t="s">
        <v>578</v>
      </c>
      <c r="F1427" s="3">
        <v>42712</v>
      </c>
      <c r="G1427" s="2" t="str">
        <f>"9780252099083"</f>
        <v>9780252099083</v>
      </c>
      <c r="H1427" s="2" t="s">
        <v>14</v>
      </c>
      <c r="I1427" s="4">
        <v>42864.371527777781</v>
      </c>
      <c r="J1427" s="2" t="s">
        <v>11991</v>
      </c>
    </row>
    <row r="1428" spans="1:10" ht="195" x14ac:dyDescent="0.25">
      <c r="A1428" s="2" t="s">
        <v>114</v>
      </c>
      <c r="B1428" s="2" t="s">
        <v>2049</v>
      </c>
      <c r="C1428" s="2" t="s">
        <v>2050</v>
      </c>
      <c r="D1428" s="2" t="s">
        <v>2048</v>
      </c>
      <c r="E1428" s="2" t="s">
        <v>89</v>
      </c>
      <c r="F1428" s="3">
        <v>41487</v>
      </c>
      <c r="G1428" s="2" t="str">
        <f>"9780857457349"</f>
        <v>9780857457349</v>
      </c>
      <c r="H1428" s="2" t="s">
        <v>14</v>
      </c>
      <c r="I1428" s="4">
        <v>43916.459722222222</v>
      </c>
      <c r="J1428" s="2" t="s">
        <v>2051</v>
      </c>
    </row>
    <row r="1429" spans="1:10" ht="135" x14ac:dyDescent="0.25">
      <c r="A1429" s="2" t="s">
        <v>114</v>
      </c>
      <c r="B1429" s="2">
        <v>305.23093299999999</v>
      </c>
      <c r="C1429" s="2" t="s">
        <v>1610</v>
      </c>
      <c r="D1429" s="2" t="s">
        <v>1609</v>
      </c>
      <c r="E1429" s="2" t="s">
        <v>370</v>
      </c>
      <c r="F1429" s="3">
        <v>42487</v>
      </c>
      <c r="G1429" s="2" t="str">
        <f>"9780884142966"</f>
        <v>9780884142966</v>
      </c>
      <c r="H1429" s="2" t="s">
        <v>14</v>
      </c>
      <c r="I1429" s="4">
        <v>43935.453472222223</v>
      </c>
      <c r="J1429" s="2" t="s">
        <v>1611</v>
      </c>
    </row>
    <row r="1430" spans="1:10" ht="135" x14ac:dyDescent="0.25">
      <c r="A1430" s="2" t="s">
        <v>114</v>
      </c>
      <c r="B1430" s="2">
        <v>306.20972999999998</v>
      </c>
      <c r="C1430" s="2" t="s">
        <v>3817</v>
      </c>
      <c r="D1430" s="2" t="s">
        <v>3816</v>
      </c>
      <c r="E1430" s="2" t="s">
        <v>28</v>
      </c>
      <c r="F1430" s="3">
        <v>43578</v>
      </c>
      <c r="G1430" s="2" t="str">
        <f>"9780813942537"</f>
        <v>9780813942537</v>
      </c>
      <c r="H1430" s="2" t="s">
        <v>14</v>
      </c>
      <c r="I1430" s="4">
        <v>43753.556250000001</v>
      </c>
      <c r="J1430" s="2" t="s">
        <v>3818</v>
      </c>
    </row>
    <row r="1431" spans="1:10" ht="135" x14ac:dyDescent="0.25">
      <c r="A1431" s="2" t="s">
        <v>114</v>
      </c>
      <c r="B1431" s="2">
        <v>305.420973</v>
      </c>
      <c r="C1431" s="2" t="s">
        <v>1121</v>
      </c>
      <c r="D1431" s="2" t="s">
        <v>1120</v>
      </c>
      <c r="E1431" s="2" t="s">
        <v>216</v>
      </c>
      <c r="F1431" s="3">
        <v>42795</v>
      </c>
      <c r="G1431" s="2" t="str">
        <f>"9781438464794"</f>
        <v>9781438464794</v>
      </c>
      <c r="H1431" s="2" t="s">
        <v>14</v>
      </c>
      <c r="I1431" s="4">
        <v>43961.802777777775</v>
      </c>
      <c r="J1431" s="2" t="s">
        <v>1122</v>
      </c>
    </row>
    <row r="1432" spans="1:10" ht="135" x14ac:dyDescent="0.25">
      <c r="A1432" s="2" t="s">
        <v>114</v>
      </c>
      <c r="B1432" s="2">
        <v>305.89600000000002</v>
      </c>
      <c r="C1432" s="2" t="s">
        <v>3723</v>
      </c>
      <c r="D1432" s="2" t="s">
        <v>3722</v>
      </c>
      <c r="E1432" s="2" t="s">
        <v>33</v>
      </c>
      <c r="F1432" s="3">
        <v>42368</v>
      </c>
      <c r="G1432" s="2" t="str">
        <f>"9781613763735"</f>
        <v>9781613763735</v>
      </c>
      <c r="H1432" s="2" t="s">
        <v>14</v>
      </c>
      <c r="I1432" s="4">
        <v>43761.378472222219</v>
      </c>
      <c r="J1432" s="2" t="s">
        <v>3724</v>
      </c>
    </row>
    <row r="1433" spans="1:10" ht="135" x14ac:dyDescent="0.25">
      <c r="A1433" s="2" t="s">
        <v>114</v>
      </c>
      <c r="B1433" s="2">
        <v>305.89633199999997</v>
      </c>
      <c r="C1433" s="2" t="s">
        <v>7166</v>
      </c>
      <c r="D1433" s="2" t="s">
        <v>7165</v>
      </c>
      <c r="E1433" s="2" t="s">
        <v>69</v>
      </c>
      <c r="F1433" s="3">
        <v>42639</v>
      </c>
      <c r="G1433" s="2" t="str">
        <f>"9780253022578"</f>
        <v>9780253022578</v>
      </c>
      <c r="H1433" s="2" t="s">
        <v>14</v>
      </c>
      <c r="I1433" s="4">
        <v>43438.679861111108</v>
      </c>
      <c r="J1433" s="2" t="s">
        <v>7167</v>
      </c>
    </row>
    <row r="1434" spans="1:10" ht="135" x14ac:dyDescent="0.25">
      <c r="A1434" s="2" t="s">
        <v>114</v>
      </c>
      <c r="B1434" s="2" t="s">
        <v>1253</v>
      </c>
      <c r="C1434" s="2" t="s">
        <v>1254</v>
      </c>
      <c r="D1434" s="2" t="s">
        <v>1252</v>
      </c>
      <c r="E1434" s="2" t="s">
        <v>846</v>
      </c>
      <c r="F1434" s="3">
        <v>40124</v>
      </c>
      <c r="G1434" s="2" t="str">
        <f>"9781442697645"</f>
        <v>9781442697645</v>
      </c>
      <c r="H1434" s="2" t="s">
        <v>14</v>
      </c>
      <c r="I1434" s="4">
        <v>43952.553472222222</v>
      </c>
      <c r="J1434" s="2" t="s">
        <v>1255</v>
      </c>
    </row>
    <row r="1435" spans="1:10" ht="135" x14ac:dyDescent="0.25">
      <c r="A1435" s="2" t="s">
        <v>114</v>
      </c>
      <c r="B1435" s="2">
        <v>303.625096773</v>
      </c>
      <c r="C1435" s="2" t="s">
        <v>6035</v>
      </c>
      <c r="D1435" s="2" t="s">
        <v>6034</v>
      </c>
      <c r="E1435" s="2" t="s">
        <v>69</v>
      </c>
      <c r="F1435" s="3">
        <v>43374</v>
      </c>
      <c r="G1435" s="2" t="str">
        <f>"9780253037510"</f>
        <v>9780253037510</v>
      </c>
      <c r="H1435" s="2" t="s">
        <v>14</v>
      </c>
      <c r="I1435" s="4">
        <v>43546.632638888892</v>
      </c>
      <c r="J1435" s="2" t="s">
        <v>6036</v>
      </c>
    </row>
    <row r="1436" spans="1:10" ht="135" x14ac:dyDescent="0.25">
      <c r="A1436" s="2" t="s">
        <v>114</v>
      </c>
      <c r="D1436" s="2" t="s">
        <v>149</v>
      </c>
      <c r="E1436" s="2" t="s">
        <v>46</v>
      </c>
      <c r="F1436" s="3">
        <v>43983</v>
      </c>
      <c r="G1436" s="2" t="str">
        <f>"9781496220844"</f>
        <v>9781496220844</v>
      </c>
      <c r="H1436" s="2" t="s">
        <v>14</v>
      </c>
      <c r="I1436" s="4">
        <v>44068.524305555555</v>
      </c>
      <c r="J1436" s="2" t="s">
        <v>150</v>
      </c>
    </row>
    <row r="1437" spans="1:10" ht="135" x14ac:dyDescent="0.25">
      <c r="A1437" s="2" t="s">
        <v>114</v>
      </c>
      <c r="B1437" s="2">
        <v>973.91399999999999</v>
      </c>
      <c r="C1437" s="2" t="s">
        <v>11505</v>
      </c>
      <c r="D1437" s="2" t="s">
        <v>11504</v>
      </c>
      <c r="E1437" s="2" t="s">
        <v>1869</v>
      </c>
      <c r="F1437" s="3">
        <v>41963</v>
      </c>
      <c r="G1437" s="2" t="str">
        <f>"9780759124332"</f>
        <v>9780759124332</v>
      </c>
      <c r="H1437" s="2" t="s">
        <v>14</v>
      </c>
      <c r="I1437" s="4">
        <v>42946.412499999999</v>
      </c>
      <c r="J1437" s="2" t="s">
        <v>11506</v>
      </c>
    </row>
    <row r="1438" spans="1:10" ht="150" x14ac:dyDescent="0.25">
      <c r="A1438" s="2" t="s">
        <v>114</v>
      </c>
      <c r="B1438" s="2">
        <v>303.48509030000002</v>
      </c>
      <c r="C1438" s="2" t="s">
        <v>2398</v>
      </c>
      <c r="D1438" s="2" t="s">
        <v>2397</v>
      </c>
      <c r="E1438" s="2" t="s">
        <v>156</v>
      </c>
      <c r="F1438" s="3">
        <v>43787</v>
      </c>
      <c r="G1438" s="2" t="str">
        <f>"9781469652535"</f>
        <v>9781469652535</v>
      </c>
      <c r="H1438" s="2" t="s">
        <v>14</v>
      </c>
      <c r="I1438" s="4">
        <v>43888.040277777778</v>
      </c>
      <c r="J1438" s="2" t="s">
        <v>2399</v>
      </c>
    </row>
    <row r="1439" spans="1:10" ht="135" x14ac:dyDescent="0.25">
      <c r="A1439" s="2" t="s">
        <v>114</v>
      </c>
      <c r="B1439" s="2">
        <v>305.89240415</v>
      </c>
      <c r="C1439" s="2" t="s">
        <v>3539</v>
      </c>
      <c r="D1439" s="2" t="s">
        <v>3538</v>
      </c>
      <c r="E1439" s="2" t="s">
        <v>310</v>
      </c>
      <c r="F1439" s="3">
        <v>43313</v>
      </c>
      <c r="G1439" s="2" t="str">
        <f>"9780815654261"</f>
        <v>9780815654261</v>
      </c>
      <c r="H1439" s="2" t="s">
        <v>14</v>
      </c>
      <c r="I1439" s="4">
        <v>43776.701388888891</v>
      </c>
      <c r="J1439" s="2" t="s">
        <v>3540</v>
      </c>
    </row>
    <row r="1440" spans="1:10" ht="135" x14ac:dyDescent="0.25">
      <c r="A1440" s="2" t="s">
        <v>114</v>
      </c>
      <c r="B1440" s="2">
        <v>305.69709399999999</v>
      </c>
      <c r="C1440" s="2" t="s">
        <v>8053</v>
      </c>
      <c r="D1440" s="2" t="s">
        <v>8052</v>
      </c>
      <c r="E1440" s="2" t="s">
        <v>268</v>
      </c>
      <c r="F1440" s="3">
        <v>43158</v>
      </c>
      <c r="G1440" s="2" t="str">
        <f>"9780815727590"</f>
        <v>9780815727590</v>
      </c>
      <c r="H1440" s="2" t="s">
        <v>14</v>
      </c>
      <c r="I1440" s="4">
        <v>43360.640277777777</v>
      </c>
      <c r="J1440" s="2" t="s">
        <v>8054</v>
      </c>
    </row>
    <row r="1441" spans="1:10" ht="150" x14ac:dyDescent="0.25">
      <c r="A1441" s="2" t="s">
        <v>114</v>
      </c>
      <c r="B1441" s="2" t="s">
        <v>7436</v>
      </c>
      <c r="C1441" s="2" t="s">
        <v>7437</v>
      </c>
      <c r="D1441" s="2" t="s">
        <v>7435</v>
      </c>
      <c r="E1441" s="2" t="s">
        <v>526</v>
      </c>
      <c r="F1441" s="3">
        <v>41774</v>
      </c>
      <c r="G1441" s="2" t="str">
        <f>"9780292754775"</f>
        <v>9780292754775</v>
      </c>
      <c r="H1441" s="2" t="s">
        <v>14</v>
      </c>
      <c r="I1441" s="4">
        <v>43416.427777777775</v>
      </c>
      <c r="J1441" s="2" t="s">
        <v>7438</v>
      </c>
    </row>
    <row r="1442" spans="1:10" ht="135" x14ac:dyDescent="0.25">
      <c r="A1442" s="2" t="s">
        <v>114</v>
      </c>
      <c r="B1442" s="2">
        <v>306.36209730000002</v>
      </c>
      <c r="C1442" s="2" t="s">
        <v>8457</v>
      </c>
      <c r="D1442" s="2" t="s">
        <v>8456</v>
      </c>
      <c r="E1442" s="2" t="s">
        <v>156</v>
      </c>
      <c r="F1442" s="3">
        <v>42485</v>
      </c>
      <c r="G1442" s="2" t="str">
        <f>"9781469628295"</f>
        <v>9781469628295</v>
      </c>
      <c r="H1442" s="2" t="s">
        <v>14</v>
      </c>
      <c r="I1442" s="4">
        <v>43304.648611111108</v>
      </c>
      <c r="J1442" s="2" t="s">
        <v>8458</v>
      </c>
    </row>
    <row r="1443" spans="1:10" ht="165" x14ac:dyDescent="0.25">
      <c r="A1443" s="2" t="s">
        <v>114</v>
      </c>
      <c r="B1443" s="2">
        <v>305.48897009000001</v>
      </c>
      <c r="C1443" s="2" t="s">
        <v>4113</v>
      </c>
      <c r="D1443" s="2" t="s">
        <v>4112</v>
      </c>
      <c r="E1443" s="2" t="s">
        <v>65</v>
      </c>
      <c r="F1443" s="3">
        <v>42297</v>
      </c>
      <c r="G1443" s="2" t="str">
        <f>"9780806153605"</f>
        <v>9780806153605</v>
      </c>
      <c r="H1443" s="2" t="s">
        <v>14</v>
      </c>
      <c r="I1443" s="4">
        <v>43712.438194444447</v>
      </c>
      <c r="J1443" s="2" t="s">
        <v>4114</v>
      </c>
    </row>
    <row r="1444" spans="1:10" ht="135" x14ac:dyDescent="0.25">
      <c r="A1444" s="2" t="s">
        <v>114</v>
      </c>
      <c r="B1444" s="2">
        <v>305.80098099999998</v>
      </c>
      <c r="C1444" s="2" t="s">
        <v>6611</v>
      </c>
      <c r="D1444" s="2" t="s">
        <v>6610</v>
      </c>
      <c r="E1444" s="2" t="s">
        <v>54</v>
      </c>
      <c r="F1444" s="3">
        <v>43298</v>
      </c>
      <c r="G1444" s="2" t="str">
        <f>"9781503606029"</f>
        <v>9781503606029</v>
      </c>
      <c r="H1444" s="2" t="s">
        <v>14</v>
      </c>
      <c r="I1444" s="4">
        <v>43504.29791666667</v>
      </c>
      <c r="J1444" s="2" t="s">
        <v>6612</v>
      </c>
    </row>
    <row r="1445" spans="1:10" ht="135" x14ac:dyDescent="0.25">
      <c r="A1445" s="2" t="s">
        <v>114</v>
      </c>
      <c r="B1445" s="2">
        <v>302.23</v>
      </c>
      <c r="C1445" s="2" t="s">
        <v>5639</v>
      </c>
      <c r="D1445" s="2" t="s">
        <v>5637</v>
      </c>
      <c r="E1445" s="2" t="s">
        <v>5638</v>
      </c>
      <c r="F1445" s="3">
        <v>39417</v>
      </c>
      <c r="G1445" s="2" t="str">
        <f>"9781552503386"</f>
        <v>9781552503386</v>
      </c>
      <c r="H1445" s="2" t="s">
        <v>14</v>
      </c>
      <c r="I1445" s="4">
        <v>43584.50277777778</v>
      </c>
      <c r="J1445" s="2" t="s">
        <v>5640</v>
      </c>
    </row>
    <row r="1446" spans="1:10" ht="135" x14ac:dyDescent="0.25">
      <c r="A1446" s="2" t="s">
        <v>114</v>
      </c>
      <c r="B1446" s="2">
        <v>305.80094000000003</v>
      </c>
      <c r="C1446" s="2" t="s">
        <v>1971</v>
      </c>
      <c r="D1446" s="2" t="s">
        <v>1970</v>
      </c>
      <c r="E1446" s="2" t="s">
        <v>89</v>
      </c>
      <c r="F1446" s="3">
        <v>43150</v>
      </c>
      <c r="G1446" s="2" t="str">
        <f>"9781785337970"</f>
        <v>9781785337970</v>
      </c>
      <c r="H1446" s="2" t="s">
        <v>14</v>
      </c>
      <c r="I1446" s="4">
        <v>43919.73541666667</v>
      </c>
      <c r="J1446" s="2" t="s">
        <v>1972</v>
      </c>
    </row>
    <row r="1447" spans="1:10" ht="135" x14ac:dyDescent="0.25">
      <c r="A1447" s="2" t="s">
        <v>114</v>
      </c>
      <c r="B1447" s="2">
        <v>305.800972</v>
      </c>
      <c r="C1447" s="2" t="s">
        <v>7602</v>
      </c>
      <c r="D1447" s="2" t="s">
        <v>7601</v>
      </c>
      <c r="E1447" s="2" t="s">
        <v>130</v>
      </c>
      <c r="F1447" s="3">
        <v>43340</v>
      </c>
      <c r="G1447" s="2" t="str">
        <f>"9781683400417"</f>
        <v>9781683400417</v>
      </c>
      <c r="H1447" s="2" t="s">
        <v>14</v>
      </c>
      <c r="I1447" s="4">
        <v>43405.65625</v>
      </c>
      <c r="J1447" s="2" t="s">
        <v>7603</v>
      </c>
    </row>
    <row r="1448" spans="1:10" ht="150" x14ac:dyDescent="0.25">
      <c r="A1448" s="2" t="s">
        <v>114</v>
      </c>
      <c r="B1448" s="2" t="s">
        <v>11323</v>
      </c>
      <c r="C1448" s="2" t="s">
        <v>11324</v>
      </c>
      <c r="D1448" s="2" t="s">
        <v>11322</v>
      </c>
      <c r="E1448" s="2" t="s">
        <v>54</v>
      </c>
      <c r="F1448" s="3">
        <v>42634</v>
      </c>
      <c r="G1448" s="2" t="str">
        <f>"9780804799874"</f>
        <v>9780804799874</v>
      </c>
      <c r="H1448" s="2" t="s">
        <v>14</v>
      </c>
      <c r="I1448" s="4">
        <v>42989.494444444441</v>
      </c>
      <c r="J1448" s="2" t="s">
        <v>11325</v>
      </c>
    </row>
    <row r="1449" spans="1:10" ht="135" x14ac:dyDescent="0.25">
      <c r="A1449" s="2" t="s">
        <v>114</v>
      </c>
      <c r="B1449" s="2">
        <v>306.87430929999999</v>
      </c>
      <c r="C1449" s="2" t="s">
        <v>20</v>
      </c>
      <c r="D1449" s="2" t="s">
        <v>1863</v>
      </c>
      <c r="E1449" s="2" t="s">
        <v>37</v>
      </c>
      <c r="F1449" s="3">
        <v>42810</v>
      </c>
      <c r="G1449" s="2" t="str">
        <f>"9783319489025"</f>
        <v>9783319489025</v>
      </c>
      <c r="H1449" s="2" t="s">
        <v>14</v>
      </c>
      <c r="I1449" s="4">
        <v>43923.717361111114</v>
      </c>
      <c r="J1449" s="2" t="s">
        <v>1864</v>
      </c>
    </row>
    <row r="1450" spans="1:10" ht="135" x14ac:dyDescent="0.25">
      <c r="A1450" s="2" t="s">
        <v>114</v>
      </c>
      <c r="B1450" s="2">
        <v>305.80097000000001</v>
      </c>
      <c r="C1450" s="2" t="s">
        <v>8299</v>
      </c>
      <c r="D1450" s="2" t="s">
        <v>8298</v>
      </c>
      <c r="E1450" s="2" t="s">
        <v>130</v>
      </c>
      <c r="F1450" s="3">
        <v>41667</v>
      </c>
      <c r="G1450" s="2" t="str">
        <f>"9780813048673"</f>
        <v>9780813048673</v>
      </c>
      <c r="H1450" s="2" t="s">
        <v>14</v>
      </c>
      <c r="I1450" s="4">
        <v>43325.384722222225</v>
      </c>
      <c r="J1450" s="2" t="s">
        <v>8300</v>
      </c>
    </row>
    <row r="1451" spans="1:10" ht="135" x14ac:dyDescent="0.25">
      <c r="A1451" s="2" t="s">
        <v>114</v>
      </c>
      <c r="B1451" s="2" t="s">
        <v>3536</v>
      </c>
      <c r="C1451" s="2" t="s">
        <v>336</v>
      </c>
      <c r="D1451" s="2" t="s">
        <v>3535</v>
      </c>
      <c r="E1451" s="2" t="s">
        <v>121</v>
      </c>
      <c r="F1451" s="3">
        <v>42217</v>
      </c>
      <c r="G1451" s="2" t="str">
        <f>"9781609174569"</f>
        <v>9781609174569</v>
      </c>
      <c r="H1451" s="2" t="s">
        <v>14</v>
      </c>
      <c r="I1451" s="4">
        <v>43776.704861111109</v>
      </c>
      <c r="J1451" s="2" t="s">
        <v>3537</v>
      </c>
    </row>
    <row r="1452" spans="1:10" ht="135" x14ac:dyDescent="0.25">
      <c r="A1452" s="2" t="s">
        <v>114</v>
      </c>
      <c r="B1452" s="2">
        <v>305.80097309050001</v>
      </c>
      <c r="C1452" s="2" t="s">
        <v>4633</v>
      </c>
      <c r="D1452" s="2" t="s">
        <v>4632</v>
      </c>
      <c r="E1452" s="2" t="s">
        <v>216</v>
      </c>
      <c r="F1452" s="3">
        <v>43586</v>
      </c>
      <c r="G1452" s="2" t="str">
        <f>"9781438474168"</f>
        <v>9781438474168</v>
      </c>
      <c r="H1452" s="2" t="s">
        <v>14</v>
      </c>
      <c r="I1452" s="4">
        <v>43644.407638888886</v>
      </c>
      <c r="J1452" s="2" t="s">
        <v>4634</v>
      </c>
    </row>
    <row r="1453" spans="1:10" ht="135" x14ac:dyDescent="0.25">
      <c r="A1453" s="2" t="s">
        <v>114</v>
      </c>
      <c r="B1453" s="2">
        <v>305.55208996072997</v>
      </c>
      <c r="C1453" s="2" t="s">
        <v>1369</v>
      </c>
      <c r="D1453" s="2" t="s">
        <v>5481</v>
      </c>
      <c r="E1453" s="2" t="s">
        <v>101</v>
      </c>
      <c r="F1453" s="3">
        <v>43419</v>
      </c>
      <c r="G1453" s="2" t="str">
        <f>"9780810138148"</f>
        <v>9780810138148</v>
      </c>
      <c r="H1453" s="2" t="s">
        <v>14</v>
      </c>
      <c r="I1453" s="4">
        <v>43594.78125</v>
      </c>
      <c r="J1453" s="2" t="s">
        <v>5482</v>
      </c>
    </row>
    <row r="1454" spans="1:10" ht="135" x14ac:dyDescent="0.25">
      <c r="A1454" s="2" t="s">
        <v>114</v>
      </c>
      <c r="B1454" s="2">
        <v>303.48242054090298</v>
      </c>
      <c r="C1454" s="2" t="s">
        <v>20</v>
      </c>
      <c r="D1454" s="2" t="s">
        <v>2015</v>
      </c>
      <c r="E1454" s="2" t="s">
        <v>17</v>
      </c>
      <c r="F1454" s="3">
        <v>39128</v>
      </c>
      <c r="G1454" s="2" t="str">
        <f>"9780230288706"</f>
        <v>9780230288706</v>
      </c>
      <c r="H1454" s="2" t="s">
        <v>14</v>
      </c>
      <c r="I1454" s="4">
        <v>43917.772916666669</v>
      </c>
      <c r="J1454" s="2" t="s">
        <v>2016</v>
      </c>
    </row>
    <row r="1455" spans="1:10" ht="135" x14ac:dyDescent="0.25">
      <c r="A1455" s="2" t="s">
        <v>114</v>
      </c>
      <c r="B1455" s="2" t="s">
        <v>9635</v>
      </c>
      <c r="C1455" s="2" t="s">
        <v>9636</v>
      </c>
      <c r="D1455" s="2" t="s">
        <v>9634</v>
      </c>
      <c r="E1455" s="2" t="s">
        <v>54</v>
      </c>
      <c r="F1455" s="3">
        <v>42130</v>
      </c>
      <c r="G1455" s="2" t="str">
        <f>"9780804795203"</f>
        <v>9780804795203</v>
      </c>
      <c r="H1455" s="2" t="s">
        <v>14</v>
      </c>
      <c r="I1455" s="4">
        <v>43143.743055555555</v>
      </c>
      <c r="J1455" s="2" t="s">
        <v>9637</v>
      </c>
    </row>
    <row r="1456" spans="1:10" ht="150" x14ac:dyDescent="0.25">
      <c r="A1456" s="2" t="s">
        <v>114</v>
      </c>
      <c r="B1456" s="2">
        <v>305.800973</v>
      </c>
      <c r="C1456" s="2" t="s">
        <v>6255</v>
      </c>
      <c r="D1456" s="2" t="s">
        <v>6254</v>
      </c>
      <c r="E1456" s="2" t="s">
        <v>156</v>
      </c>
      <c r="F1456" s="3">
        <v>41330</v>
      </c>
      <c r="G1456" s="2" t="str">
        <f>"9781469608075"</f>
        <v>9781469608075</v>
      </c>
      <c r="H1456" s="2" t="s">
        <v>14</v>
      </c>
      <c r="I1456" s="4">
        <v>43529.39166666667</v>
      </c>
      <c r="J1456" s="2" t="s">
        <v>6256</v>
      </c>
    </row>
    <row r="1457" spans="1:10" ht="150" x14ac:dyDescent="0.25">
      <c r="A1457" s="2" t="s">
        <v>114</v>
      </c>
      <c r="B1457" s="2" t="s">
        <v>4971</v>
      </c>
      <c r="C1457" s="2" t="s">
        <v>4972</v>
      </c>
      <c r="D1457" s="2" t="s">
        <v>4970</v>
      </c>
      <c r="E1457" s="2" t="s">
        <v>856</v>
      </c>
      <c r="F1457" s="3">
        <v>43394</v>
      </c>
      <c r="G1457" s="2" t="str">
        <f>"9780295743837"</f>
        <v>9780295743837</v>
      </c>
      <c r="H1457" s="2" t="s">
        <v>14</v>
      </c>
      <c r="I1457" s="4">
        <v>43614.583333333336</v>
      </c>
      <c r="J1457" s="2" t="s">
        <v>4973</v>
      </c>
    </row>
    <row r="1458" spans="1:10" ht="135" x14ac:dyDescent="0.25">
      <c r="A1458" s="2" t="s">
        <v>114</v>
      </c>
      <c r="B1458" s="2">
        <v>305.80097296000002</v>
      </c>
      <c r="C1458" s="2" t="s">
        <v>2916</v>
      </c>
      <c r="D1458" s="2" t="s">
        <v>2915</v>
      </c>
      <c r="E1458" s="2" t="s">
        <v>130</v>
      </c>
      <c r="F1458" s="3">
        <v>42530</v>
      </c>
      <c r="G1458" s="2" t="str">
        <f>"9780813055787"</f>
        <v>9780813055787</v>
      </c>
      <c r="H1458" s="2" t="s">
        <v>14</v>
      </c>
      <c r="I1458" s="4">
        <v>43843.922222222223</v>
      </c>
      <c r="J1458" s="2" t="s">
        <v>2917</v>
      </c>
    </row>
    <row r="1459" spans="1:10" ht="135" x14ac:dyDescent="0.25">
      <c r="A1459" s="2" t="s">
        <v>114</v>
      </c>
      <c r="B1459" s="2">
        <v>305.86872950746999</v>
      </c>
      <c r="C1459" s="2" t="s">
        <v>7549</v>
      </c>
      <c r="D1459" s="2" t="s">
        <v>7548</v>
      </c>
      <c r="E1459" s="2" t="s">
        <v>216</v>
      </c>
      <c r="F1459" s="3">
        <v>42767</v>
      </c>
      <c r="G1459" s="2" t="str">
        <f>"9781438463568"</f>
        <v>9781438463568</v>
      </c>
      <c r="H1459" s="2" t="s">
        <v>14</v>
      </c>
      <c r="I1459" s="4">
        <v>43409.408333333333</v>
      </c>
      <c r="J1459" s="2" t="s">
        <v>7550</v>
      </c>
    </row>
    <row r="1460" spans="1:10" ht="135" x14ac:dyDescent="0.25">
      <c r="A1460" s="2" t="s">
        <v>114</v>
      </c>
      <c r="B1460" s="2" t="s">
        <v>7215</v>
      </c>
      <c r="C1460" s="2" t="s">
        <v>7216</v>
      </c>
      <c r="D1460" s="2" t="s">
        <v>7214</v>
      </c>
      <c r="E1460" s="2" t="s">
        <v>856</v>
      </c>
      <c r="F1460" s="3">
        <v>42856</v>
      </c>
      <c r="G1460" s="2" t="str">
        <f>"9780295741642"</f>
        <v>9780295741642</v>
      </c>
      <c r="H1460" s="2" t="s">
        <v>14</v>
      </c>
      <c r="I1460" s="4">
        <v>43433.890277777777</v>
      </c>
      <c r="J1460" s="2" t="s">
        <v>7217</v>
      </c>
    </row>
    <row r="1461" spans="1:10" ht="150" x14ac:dyDescent="0.25">
      <c r="A1461" s="2" t="s">
        <v>114</v>
      </c>
      <c r="B1461" s="2" t="s">
        <v>10529</v>
      </c>
      <c r="C1461" s="2" t="s">
        <v>336</v>
      </c>
      <c r="D1461" s="2" t="s">
        <v>10528</v>
      </c>
      <c r="E1461" s="2" t="s">
        <v>578</v>
      </c>
      <c r="F1461" s="3">
        <v>42658</v>
      </c>
      <c r="G1461" s="2" t="str">
        <f>"9780252098925"</f>
        <v>9780252098925</v>
      </c>
      <c r="H1461" s="2" t="s">
        <v>14</v>
      </c>
      <c r="I1461" s="4">
        <v>43050.654166666667</v>
      </c>
      <c r="J1461" s="2" t="s">
        <v>10530</v>
      </c>
    </row>
    <row r="1462" spans="1:10" ht="150" x14ac:dyDescent="0.25">
      <c r="A1462" s="2" t="s">
        <v>114</v>
      </c>
      <c r="B1462" s="2">
        <v>303</v>
      </c>
      <c r="C1462" s="2" t="s">
        <v>2850</v>
      </c>
      <c r="D1462" s="2" t="s">
        <v>2849</v>
      </c>
      <c r="E1462" s="2" t="s">
        <v>627</v>
      </c>
      <c r="F1462" s="3">
        <v>42185</v>
      </c>
      <c r="G1462" s="2" t="str">
        <f>"9789633860939"</f>
        <v>9789633860939</v>
      </c>
      <c r="H1462" s="2" t="s">
        <v>14</v>
      </c>
      <c r="I1462" s="4">
        <v>43849.557638888888</v>
      </c>
      <c r="J1462" s="2" t="s">
        <v>2851</v>
      </c>
    </row>
    <row r="1463" spans="1:10" ht="135" x14ac:dyDescent="0.25">
      <c r="A1463" s="2" t="s">
        <v>114</v>
      </c>
      <c r="B1463" s="2" t="s">
        <v>261</v>
      </c>
      <c r="C1463" s="2" t="s">
        <v>262</v>
      </c>
      <c r="D1463" s="2" t="s">
        <v>259</v>
      </c>
      <c r="E1463" s="2" t="s">
        <v>260</v>
      </c>
      <c r="F1463" s="3">
        <v>42795</v>
      </c>
      <c r="G1463" s="2" t="str">
        <f>"9781439914106"</f>
        <v>9781439914106</v>
      </c>
      <c r="H1463" s="2" t="s">
        <v>14</v>
      </c>
      <c r="I1463" s="4">
        <v>44049.475694444445</v>
      </c>
      <c r="J1463" s="2" t="s">
        <v>263</v>
      </c>
    </row>
    <row r="1464" spans="1:10" ht="135" x14ac:dyDescent="0.25">
      <c r="A1464" s="2" t="s">
        <v>114</v>
      </c>
      <c r="B1464" s="2">
        <v>306.36209730000002</v>
      </c>
      <c r="C1464" s="2" t="s">
        <v>3680</v>
      </c>
      <c r="D1464" s="2" t="s">
        <v>3679</v>
      </c>
      <c r="E1464" s="2" t="s">
        <v>322</v>
      </c>
      <c r="F1464" s="3">
        <v>43586</v>
      </c>
      <c r="G1464" s="2" t="str">
        <f>"9780820355207"</f>
        <v>9780820355207</v>
      </c>
      <c r="H1464" s="2" t="s">
        <v>14</v>
      </c>
      <c r="I1464" s="4">
        <v>43767.489583333336</v>
      </c>
      <c r="J1464" s="2" t="s">
        <v>3681</v>
      </c>
    </row>
    <row r="1465" spans="1:10" ht="135" x14ac:dyDescent="0.25">
      <c r="A1465" s="2" t="s">
        <v>114</v>
      </c>
      <c r="D1465" s="2" t="s">
        <v>469</v>
      </c>
      <c r="E1465" s="2" t="s">
        <v>256</v>
      </c>
      <c r="F1465" s="3">
        <v>43943</v>
      </c>
      <c r="G1465" s="2" t="str">
        <f>"9780821440889"</f>
        <v>9780821440889</v>
      </c>
      <c r="H1465" s="2" t="s">
        <v>14</v>
      </c>
      <c r="I1465" s="4">
        <v>44021.337500000001</v>
      </c>
      <c r="J1465" s="2" t="s">
        <v>470</v>
      </c>
    </row>
    <row r="1466" spans="1:10" ht="135" x14ac:dyDescent="0.25">
      <c r="A1466" s="2" t="s">
        <v>114</v>
      </c>
      <c r="B1466" s="2">
        <v>305.80097295000002</v>
      </c>
      <c r="C1466" s="2" t="s">
        <v>2571</v>
      </c>
      <c r="D1466" s="2" t="s">
        <v>2570</v>
      </c>
      <c r="E1466" s="2" t="s">
        <v>578</v>
      </c>
      <c r="F1466" s="3">
        <v>42011</v>
      </c>
      <c r="G1466" s="2" t="str">
        <f>"9780252096860"</f>
        <v>9780252096860</v>
      </c>
      <c r="H1466" s="2" t="s">
        <v>14</v>
      </c>
      <c r="I1466" s="4">
        <v>43875.672222222223</v>
      </c>
      <c r="J1466" s="2" t="s">
        <v>2572</v>
      </c>
    </row>
    <row r="1467" spans="1:10" ht="135" x14ac:dyDescent="0.25">
      <c r="A1467" s="2" t="s">
        <v>114</v>
      </c>
      <c r="B1467" s="2">
        <v>305.80097295000002</v>
      </c>
      <c r="C1467" s="2" t="s">
        <v>3292</v>
      </c>
      <c r="D1467" s="2" t="s">
        <v>3291</v>
      </c>
      <c r="E1467" s="2" t="s">
        <v>130</v>
      </c>
      <c r="F1467" s="3">
        <v>43592</v>
      </c>
      <c r="G1467" s="2" t="str">
        <f>"9780813055817"</f>
        <v>9780813055817</v>
      </c>
      <c r="H1467" s="2" t="s">
        <v>14</v>
      </c>
      <c r="I1467" s="4">
        <v>43792.510416666664</v>
      </c>
      <c r="J1467" s="2" t="s">
        <v>3293</v>
      </c>
    </row>
    <row r="1468" spans="1:10" ht="135" x14ac:dyDescent="0.25">
      <c r="A1468" s="2" t="s">
        <v>114</v>
      </c>
      <c r="B1468" s="2" t="s">
        <v>10933</v>
      </c>
      <c r="C1468" s="2" t="s">
        <v>10934</v>
      </c>
      <c r="D1468" s="2" t="s">
        <v>10932</v>
      </c>
      <c r="E1468" s="2" t="s">
        <v>322</v>
      </c>
      <c r="F1468" s="3">
        <v>42415</v>
      </c>
      <c r="G1468" s="2" t="str">
        <f>"9780820348186"</f>
        <v>9780820348186</v>
      </c>
      <c r="H1468" s="2" t="s">
        <v>14</v>
      </c>
      <c r="I1468" s="4">
        <v>43028.476388888892</v>
      </c>
      <c r="J1468" s="2" t="s">
        <v>10935</v>
      </c>
    </row>
    <row r="1469" spans="1:10" ht="135" x14ac:dyDescent="0.25">
      <c r="A1469" s="2" t="s">
        <v>114</v>
      </c>
      <c r="B1469" s="2">
        <v>305.89240000000001</v>
      </c>
      <c r="C1469" s="2" t="s">
        <v>4354</v>
      </c>
      <c r="D1469" s="2" t="s">
        <v>4353</v>
      </c>
      <c r="E1469" s="2" t="s">
        <v>54</v>
      </c>
      <c r="F1469" s="3">
        <v>41878</v>
      </c>
      <c r="G1469" s="2" t="str">
        <f>"9780804791915"</f>
        <v>9780804791915</v>
      </c>
      <c r="H1469" s="2" t="s">
        <v>14</v>
      </c>
      <c r="I1469" s="4">
        <v>43677.584722222222</v>
      </c>
      <c r="J1469" s="2" t="s">
        <v>4355</v>
      </c>
    </row>
    <row r="1470" spans="1:10" ht="150" x14ac:dyDescent="0.25">
      <c r="A1470" s="2" t="s">
        <v>114</v>
      </c>
      <c r="B1470" s="2">
        <v>303.44095090399998</v>
      </c>
      <c r="C1470" s="2" t="s">
        <v>20</v>
      </c>
      <c r="D1470" s="2" t="s">
        <v>11374</v>
      </c>
      <c r="E1470" s="2" t="s">
        <v>295</v>
      </c>
      <c r="F1470" s="3">
        <v>42500</v>
      </c>
      <c r="G1470" s="2" t="str">
        <f>"9783662457269"</f>
        <v>9783662457269</v>
      </c>
      <c r="H1470" s="2" t="s">
        <v>14</v>
      </c>
      <c r="I1470" s="4">
        <v>42981.88958333333</v>
      </c>
      <c r="J1470" s="2" t="s">
        <v>11375</v>
      </c>
    </row>
    <row r="1471" spans="1:10" ht="135" x14ac:dyDescent="0.25">
      <c r="A1471" s="2" t="s">
        <v>114</v>
      </c>
      <c r="B1471" s="2" t="s">
        <v>8553</v>
      </c>
      <c r="C1471" s="2" t="s">
        <v>8554</v>
      </c>
      <c r="D1471" s="2" t="s">
        <v>8552</v>
      </c>
      <c r="E1471" s="2" t="s">
        <v>526</v>
      </c>
      <c r="F1471" s="3">
        <v>42217</v>
      </c>
      <c r="G1471" s="2" t="str">
        <f>"9781477301104"</f>
        <v>9781477301104</v>
      </c>
      <c r="H1471" s="2" t="s">
        <v>14</v>
      </c>
      <c r="I1471" s="4">
        <v>43288.681944444441</v>
      </c>
      <c r="J1471" s="2" t="s">
        <v>8555</v>
      </c>
    </row>
    <row r="1472" spans="1:10" ht="135" x14ac:dyDescent="0.25">
      <c r="A1472" s="2" t="s">
        <v>114</v>
      </c>
      <c r="B1472" s="2">
        <v>994.00491399999999</v>
      </c>
      <c r="C1472" s="2" t="s">
        <v>1082</v>
      </c>
      <c r="D1472" s="2" t="s">
        <v>6122</v>
      </c>
      <c r="E1472" s="2" t="s">
        <v>152</v>
      </c>
      <c r="F1472" s="3">
        <v>42867</v>
      </c>
      <c r="G1472" s="2" t="str">
        <f>"9789811036293"</f>
        <v>9789811036293</v>
      </c>
      <c r="H1472" s="2" t="s">
        <v>14</v>
      </c>
      <c r="I1472" s="4">
        <v>43538.544444444444</v>
      </c>
      <c r="J1472" s="2" t="s">
        <v>6123</v>
      </c>
    </row>
    <row r="1473" spans="1:10" ht="135" x14ac:dyDescent="0.25">
      <c r="A1473" s="2" t="s">
        <v>114</v>
      </c>
      <c r="B1473" s="2">
        <v>305.89274</v>
      </c>
      <c r="C1473" s="2" t="s">
        <v>2557</v>
      </c>
      <c r="D1473" s="2" t="s">
        <v>2556</v>
      </c>
      <c r="E1473" s="2" t="s">
        <v>69</v>
      </c>
      <c r="F1473" s="3">
        <v>42750</v>
      </c>
      <c r="G1473" s="2" t="str">
        <f>"9780253025111"</f>
        <v>9780253025111</v>
      </c>
      <c r="H1473" s="2" t="s">
        <v>14</v>
      </c>
      <c r="I1473" s="4">
        <v>43876.692361111112</v>
      </c>
      <c r="J1473" s="2" t="s">
        <v>2558</v>
      </c>
    </row>
    <row r="1474" spans="1:10" ht="135" x14ac:dyDescent="0.25">
      <c r="A1474" s="2" t="s">
        <v>114</v>
      </c>
      <c r="B1474" s="2">
        <v>306.09449999999998</v>
      </c>
      <c r="C1474" s="2" t="s">
        <v>9854</v>
      </c>
      <c r="D1474" s="2" t="s">
        <v>9853</v>
      </c>
      <c r="E1474" s="2" t="s">
        <v>80</v>
      </c>
      <c r="F1474" s="3">
        <v>42166</v>
      </c>
      <c r="G1474" s="2" t="str">
        <f>"9783653056228"</f>
        <v>9783653056228</v>
      </c>
      <c r="H1474" s="2" t="s">
        <v>14</v>
      </c>
      <c r="I1474" s="4">
        <v>43124.693055555559</v>
      </c>
      <c r="J1474" s="2" t="s">
        <v>9855</v>
      </c>
    </row>
    <row r="1475" spans="1:10" ht="135" x14ac:dyDescent="0.25">
      <c r="A1475" s="2" t="s">
        <v>114</v>
      </c>
      <c r="B1475" s="2">
        <v>305.80097499999999</v>
      </c>
      <c r="C1475" s="2" t="s">
        <v>11280</v>
      </c>
      <c r="D1475" s="2" t="s">
        <v>11279</v>
      </c>
      <c r="E1475" s="2" t="s">
        <v>156</v>
      </c>
      <c r="F1475" s="3">
        <v>41757</v>
      </c>
      <c r="G1475" s="2" t="str">
        <f>"9781469615561"</f>
        <v>9781469615561</v>
      </c>
      <c r="H1475" s="2" t="s">
        <v>14</v>
      </c>
      <c r="I1475" s="4">
        <v>42994.530555555553</v>
      </c>
      <c r="J1475" s="2" t="s">
        <v>11281</v>
      </c>
    </row>
    <row r="1476" spans="1:10" ht="135" x14ac:dyDescent="0.25">
      <c r="A1476" s="2" t="s">
        <v>114</v>
      </c>
      <c r="B1476" s="2">
        <v>305.800952</v>
      </c>
      <c r="C1476" s="2" t="s">
        <v>9118</v>
      </c>
      <c r="D1476" s="2" t="s">
        <v>9117</v>
      </c>
      <c r="E1476" s="2" t="s">
        <v>284</v>
      </c>
      <c r="F1476" s="3">
        <v>42490</v>
      </c>
      <c r="G1476" s="2" t="str">
        <f>"9780824852818"</f>
        <v>9780824852818</v>
      </c>
      <c r="H1476" s="2" t="s">
        <v>14</v>
      </c>
      <c r="I1476" s="4">
        <v>43215.659722222219</v>
      </c>
      <c r="J1476" s="2" t="s">
        <v>9119</v>
      </c>
    </row>
    <row r="1477" spans="1:10" ht="150" x14ac:dyDescent="0.25">
      <c r="A1477" s="2" t="s">
        <v>114</v>
      </c>
      <c r="B1477" s="2">
        <v>306.20974999999999</v>
      </c>
      <c r="C1477" s="2" t="s">
        <v>9671</v>
      </c>
      <c r="D1477" s="2" t="s">
        <v>9670</v>
      </c>
      <c r="E1477" s="2" t="s">
        <v>156</v>
      </c>
      <c r="F1477" s="3">
        <v>42430</v>
      </c>
      <c r="G1477" s="2" t="str">
        <f>"9781469626307"</f>
        <v>9781469626307</v>
      </c>
      <c r="H1477" s="2" t="s">
        <v>14</v>
      </c>
      <c r="I1477" s="4">
        <v>43138.843055555553</v>
      </c>
      <c r="J1477" s="2" t="s">
        <v>9672</v>
      </c>
    </row>
    <row r="1478" spans="1:10" ht="195" x14ac:dyDescent="0.25">
      <c r="A1478" s="2" t="s">
        <v>114</v>
      </c>
      <c r="B1478" s="2" t="s">
        <v>12938</v>
      </c>
      <c r="C1478" s="2" t="s">
        <v>12939</v>
      </c>
      <c r="D1478" s="2" t="s">
        <v>12937</v>
      </c>
      <c r="E1478" s="2" t="s">
        <v>54</v>
      </c>
      <c r="F1478" s="3">
        <v>42746</v>
      </c>
      <c r="G1478" s="2" t="str">
        <f>"9781503600973"</f>
        <v>9781503600973</v>
      </c>
      <c r="H1478" s="2" t="s">
        <v>14</v>
      </c>
      <c r="I1478" s="4">
        <v>42754.89166666667</v>
      </c>
      <c r="J1478" s="2" t="s">
        <v>12940</v>
      </c>
    </row>
    <row r="1479" spans="1:10" ht="135" x14ac:dyDescent="0.25">
      <c r="A1479" s="2" t="s">
        <v>114</v>
      </c>
      <c r="B1479" s="2">
        <v>303.48244065</v>
      </c>
      <c r="C1479" s="2" t="s">
        <v>6042</v>
      </c>
      <c r="D1479" s="2" t="s">
        <v>6041</v>
      </c>
      <c r="E1479" s="2" t="s">
        <v>50</v>
      </c>
      <c r="F1479" s="3">
        <v>42856</v>
      </c>
      <c r="G1479" s="2" t="str">
        <f>"9781496200310"</f>
        <v>9781496200310</v>
      </c>
      <c r="H1479" s="2" t="s">
        <v>14</v>
      </c>
      <c r="I1479" s="4">
        <v>43545.572916666664</v>
      </c>
      <c r="J1479" s="2" t="s">
        <v>6043</v>
      </c>
    </row>
    <row r="1480" spans="1:10" ht="135" x14ac:dyDescent="0.25">
      <c r="A1480" s="2" t="s">
        <v>114</v>
      </c>
      <c r="B1480" s="2">
        <v>305.800973</v>
      </c>
      <c r="C1480" s="2" t="s">
        <v>336</v>
      </c>
      <c r="D1480" s="2" t="s">
        <v>7020</v>
      </c>
      <c r="E1480" s="2" t="s">
        <v>54</v>
      </c>
      <c r="F1480" s="3">
        <v>41507</v>
      </c>
      <c r="G1480" s="2" t="str">
        <f>"9780804787284"</f>
        <v>9780804787284</v>
      </c>
      <c r="H1480" s="2" t="s">
        <v>14</v>
      </c>
      <c r="I1480" s="4">
        <v>43462.031944444447</v>
      </c>
      <c r="J1480" s="2" t="s">
        <v>7021</v>
      </c>
    </row>
    <row r="1481" spans="1:10" ht="135" x14ac:dyDescent="0.25">
      <c r="A1481" s="2" t="s">
        <v>114</v>
      </c>
      <c r="B1481" s="2">
        <v>306.48409729999997</v>
      </c>
      <c r="C1481" s="2" t="s">
        <v>20</v>
      </c>
      <c r="D1481" s="2" t="s">
        <v>2072</v>
      </c>
      <c r="E1481" s="2" t="s">
        <v>618</v>
      </c>
      <c r="F1481" s="3">
        <v>39596</v>
      </c>
      <c r="G1481" s="2" t="str">
        <f>"9780230612129"</f>
        <v>9780230612129</v>
      </c>
      <c r="H1481" s="2" t="s">
        <v>14</v>
      </c>
      <c r="I1481" s="4">
        <v>43915.504166666666</v>
      </c>
      <c r="J1481" s="2" t="s">
        <v>2073</v>
      </c>
    </row>
    <row r="1482" spans="1:10" ht="135" x14ac:dyDescent="0.25">
      <c r="A1482" s="2" t="s">
        <v>114</v>
      </c>
      <c r="B1482" s="2">
        <v>305.89510000000001</v>
      </c>
      <c r="C1482" s="2" t="s">
        <v>9113</v>
      </c>
      <c r="D1482" s="2" t="s">
        <v>9112</v>
      </c>
      <c r="E1482" s="2" t="s">
        <v>856</v>
      </c>
      <c r="F1482" s="3">
        <v>42179</v>
      </c>
      <c r="G1482" s="2" t="str">
        <f>"9780295805979"</f>
        <v>9780295805979</v>
      </c>
      <c r="H1482" s="2" t="s">
        <v>14</v>
      </c>
      <c r="I1482" s="4">
        <v>43216.488888888889</v>
      </c>
      <c r="J1482" s="2" t="s">
        <v>9114</v>
      </c>
    </row>
    <row r="1483" spans="1:10" ht="135" x14ac:dyDescent="0.25">
      <c r="A1483" s="2" t="s">
        <v>114</v>
      </c>
      <c r="B1483" s="2" t="s">
        <v>11775</v>
      </c>
      <c r="C1483" s="2" t="s">
        <v>11776</v>
      </c>
      <c r="D1483" s="2" t="s">
        <v>11774</v>
      </c>
      <c r="E1483" s="2" t="s">
        <v>268</v>
      </c>
      <c r="F1483" s="3">
        <v>42065</v>
      </c>
      <c r="G1483" s="2" t="str">
        <f>"9780815726685"</f>
        <v>9780815726685</v>
      </c>
      <c r="H1483" s="2" t="s">
        <v>14</v>
      </c>
      <c r="I1483" s="4">
        <v>42893.917361111111</v>
      </c>
      <c r="J1483" s="2" t="s">
        <v>11777</v>
      </c>
    </row>
    <row r="1484" spans="1:10" ht="135" x14ac:dyDescent="0.25">
      <c r="A1484" s="2" t="s">
        <v>114</v>
      </c>
      <c r="B1484" s="2" t="s">
        <v>11743</v>
      </c>
      <c r="C1484" s="2" t="s">
        <v>11744</v>
      </c>
      <c r="D1484" s="2" t="s">
        <v>11742</v>
      </c>
      <c r="E1484" s="2" t="s">
        <v>69</v>
      </c>
      <c r="F1484" s="3">
        <v>41835</v>
      </c>
      <c r="G1484" s="2" t="str">
        <f>"9780253014962"</f>
        <v>9780253014962</v>
      </c>
      <c r="H1484" s="2" t="s">
        <v>14</v>
      </c>
      <c r="I1484" s="4">
        <v>42903.62777777778</v>
      </c>
      <c r="J1484" s="2" t="s">
        <v>11745</v>
      </c>
    </row>
    <row r="1485" spans="1:10" ht="135" x14ac:dyDescent="0.25">
      <c r="A1485" s="2" t="s">
        <v>114</v>
      </c>
      <c r="B1485" s="2">
        <v>959.60419999999999</v>
      </c>
      <c r="C1485" s="2" t="s">
        <v>5619</v>
      </c>
      <c r="D1485" s="2" t="s">
        <v>5618</v>
      </c>
      <c r="E1485" s="2" t="s">
        <v>322</v>
      </c>
      <c r="F1485" s="3">
        <v>43480</v>
      </c>
      <c r="G1485" s="2" t="str">
        <f>"9780820354385"</f>
        <v>9780820354385</v>
      </c>
      <c r="H1485" s="2" t="s">
        <v>14</v>
      </c>
      <c r="I1485" s="4">
        <v>43586.375694444447</v>
      </c>
      <c r="J1485" s="2" t="s">
        <v>5620</v>
      </c>
    </row>
    <row r="1486" spans="1:10" ht="135" x14ac:dyDescent="0.25">
      <c r="A1486" s="2" t="s">
        <v>114</v>
      </c>
      <c r="B1486" s="2">
        <v>973.93107474709996</v>
      </c>
      <c r="C1486" s="2" t="s">
        <v>1653</v>
      </c>
      <c r="D1486" s="2" t="s">
        <v>1652</v>
      </c>
      <c r="E1486" s="2" t="s">
        <v>46</v>
      </c>
      <c r="F1486" s="3">
        <v>43770</v>
      </c>
      <c r="G1486" s="2" t="str">
        <f>"9781496217301"</f>
        <v>9781496217301</v>
      </c>
      <c r="H1486" s="2" t="s">
        <v>14</v>
      </c>
      <c r="I1486" s="4">
        <v>43934.670138888891</v>
      </c>
      <c r="J1486" s="2" t="s">
        <v>1654</v>
      </c>
    </row>
    <row r="1487" spans="1:10" ht="135" x14ac:dyDescent="0.25">
      <c r="A1487" s="2" t="s">
        <v>114</v>
      </c>
      <c r="B1487" s="2" t="s">
        <v>9172</v>
      </c>
      <c r="C1487" s="2" t="s">
        <v>9173</v>
      </c>
      <c r="D1487" s="2" t="s">
        <v>9171</v>
      </c>
      <c r="E1487" s="2" t="s">
        <v>4660</v>
      </c>
      <c r="F1487" s="3">
        <v>34809</v>
      </c>
      <c r="G1487" s="2" t="str">
        <f>"9780813161464"</f>
        <v>9780813161464</v>
      </c>
      <c r="H1487" s="2" t="s">
        <v>14</v>
      </c>
      <c r="I1487" s="4">
        <v>43203.480555555558</v>
      </c>
      <c r="J1487" s="2" t="s">
        <v>9174</v>
      </c>
    </row>
    <row r="1488" spans="1:10" ht="210" x14ac:dyDescent="0.25">
      <c r="A1488" s="2" t="s">
        <v>114</v>
      </c>
      <c r="B1488" s="2">
        <v>306.096</v>
      </c>
      <c r="C1488" s="2" t="s">
        <v>9535</v>
      </c>
      <c r="D1488" s="2" t="s">
        <v>9534</v>
      </c>
      <c r="E1488" s="2" t="s">
        <v>230</v>
      </c>
      <c r="F1488" s="3">
        <v>37596</v>
      </c>
      <c r="G1488" s="2" t="str">
        <f>"9782869784239"</f>
        <v>9782869784239</v>
      </c>
      <c r="H1488" s="2" t="s">
        <v>14</v>
      </c>
      <c r="I1488" s="4">
        <v>43157.953472222223</v>
      </c>
      <c r="J1488" s="2" t="s">
        <v>9536</v>
      </c>
    </row>
    <row r="1489" spans="1:10" ht="150" x14ac:dyDescent="0.25">
      <c r="A1489" s="2" t="s">
        <v>114</v>
      </c>
      <c r="B1489" s="2" t="s">
        <v>6973</v>
      </c>
      <c r="C1489" s="2" t="s">
        <v>6974</v>
      </c>
      <c r="D1489" s="2" t="s">
        <v>6972</v>
      </c>
      <c r="E1489" s="2" t="s">
        <v>156</v>
      </c>
      <c r="F1489" s="3">
        <v>42492</v>
      </c>
      <c r="G1489" s="2" t="str">
        <f>"9781469627700"</f>
        <v>9781469627700</v>
      </c>
      <c r="H1489" s="2" t="s">
        <v>14</v>
      </c>
      <c r="I1489" s="4">
        <v>43471.038194444445</v>
      </c>
      <c r="J1489" s="2" t="s">
        <v>6975</v>
      </c>
    </row>
    <row r="1490" spans="1:10" ht="165" x14ac:dyDescent="0.25">
      <c r="A1490" s="2" t="s">
        <v>114</v>
      </c>
      <c r="B1490" s="2" t="s">
        <v>6218</v>
      </c>
      <c r="C1490" s="2" t="s">
        <v>6219</v>
      </c>
      <c r="D1490" s="2" t="s">
        <v>6217</v>
      </c>
      <c r="E1490" s="2" t="s">
        <v>54</v>
      </c>
      <c r="F1490" s="3">
        <v>42746</v>
      </c>
      <c r="G1490" s="2" t="str">
        <f>"9781503601116"</f>
        <v>9781503601116</v>
      </c>
      <c r="H1490" s="2" t="s">
        <v>14</v>
      </c>
      <c r="I1490" s="4">
        <v>43532.255555555559</v>
      </c>
      <c r="J1490" s="2" t="s">
        <v>6220</v>
      </c>
    </row>
    <row r="1491" spans="1:10" ht="135" x14ac:dyDescent="0.25">
      <c r="A1491" s="2" t="s">
        <v>114</v>
      </c>
      <c r="B1491" s="2" t="s">
        <v>6355</v>
      </c>
      <c r="C1491" s="2" t="s">
        <v>6356</v>
      </c>
      <c r="D1491" s="2" t="s">
        <v>6354</v>
      </c>
      <c r="E1491" s="2" t="s">
        <v>156</v>
      </c>
      <c r="F1491" s="3">
        <v>41869</v>
      </c>
      <c r="G1491" s="2" t="str">
        <f>"9781469617879"</f>
        <v>9781469617879</v>
      </c>
      <c r="H1491" s="2" t="s">
        <v>14</v>
      </c>
      <c r="I1491" s="4">
        <v>43522.637499999997</v>
      </c>
      <c r="J1491" s="2" t="s">
        <v>6357</v>
      </c>
    </row>
    <row r="1492" spans="1:10" ht="135" x14ac:dyDescent="0.25">
      <c r="A1492" s="2" t="s">
        <v>114</v>
      </c>
      <c r="B1492" s="2">
        <v>306.09730904999998</v>
      </c>
      <c r="C1492" s="2" t="s">
        <v>9351</v>
      </c>
      <c r="D1492" s="2" t="s">
        <v>9350</v>
      </c>
      <c r="E1492" s="2" t="s">
        <v>69</v>
      </c>
      <c r="F1492" s="3">
        <v>42842</v>
      </c>
      <c r="G1492" s="2" t="str">
        <f>"9780253026873"</f>
        <v>9780253026873</v>
      </c>
      <c r="H1492" s="2" t="s">
        <v>14</v>
      </c>
      <c r="I1492" s="4">
        <v>43179.954861111109</v>
      </c>
      <c r="J1492" s="2" t="s">
        <v>9352</v>
      </c>
    </row>
    <row r="1493" spans="1:10" ht="135" x14ac:dyDescent="0.25">
      <c r="A1493" s="2" t="s">
        <v>114</v>
      </c>
      <c r="B1493" s="2">
        <v>305.89699999999999</v>
      </c>
      <c r="C1493" s="2" t="s">
        <v>13044</v>
      </c>
      <c r="D1493" s="2" t="s">
        <v>13043</v>
      </c>
      <c r="E1493" s="2" t="s">
        <v>3807</v>
      </c>
      <c r="F1493" s="3">
        <v>41821</v>
      </c>
      <c r="G1493" s="2" t="str">
        <f>"9780774825429"</f>
        <v>9780774825429</v>
      </c>
      <c r="H1493" s="2" t="s">
        <v>14</v>
      </c>
      <c r="I1493" s="4">
        <v>42746.084027777775</v>
      </c>
      <c r="J1493" s="2" t="s">
        <v>13045</v>
      </c>
    </row>
    <row r="1494" spans="1:10" ht="135" x14ac:dyDescent="0.25">
      <c r="A1494" s="2" t="s">
        <v>114</v>
      </c>
      <c r="B1494" s="2">
        <v>305.48896073009001</v>
      </c>
      <c r="C1494" s="2" t="s">
        <v>1369</v>
      </c>
      <c r="D1494" s="2" t="s">
        <v>5113</v>
      </c>
      <c r="E1494" s="2" t="s">
        <v>578</v>
      </c>
      <c r="F1494" s="3">
        <v>43540</v>
      </c>
      <c r="G1494" s="2" t="str">
        <f>"9780252051166"</f>
        <v>9780252051166</v>
      </c>
      <c r="H1494" s="2" t="s">
        <v>14</v>
      </c>
      <c r="I1494" s="4">
        <v>43610.611805555556</v>
      </c>
      <c r="J1494" s="2" t="s">
        <v>5114</v>
      </c>
    </row>
    <row r="1495" spans="1:10" ht="135" x14ac:dyDescent="0.25">
      <c r="A1495" s="2" t="s">
        <v>114</v>
      </c>
      <c r="B1495" s="2" t="s">
        <v>11553</v>
      </c>
      <c r="C1495" s="2" t="s">
        <v>11554</v>
      </c>
      <c r="D1495" s="2" t="s">
        <v>11552</v>
      </c>
      <c r="E1495" s="2" t="s">
        <v>89</v>
      </c>
      <c r="F1495" s="3">
        <v>42036</v>
      </c>
      <c r="G1495" s="2" t="str">
        <f>"9781782386001"</f>
        <v>9781782386001</v>
      </c>
      <c r="H1495" s="2" t="s">
        <v>14</v>
      </c>
      <c r="I1495" s="4">
        <v>42933.534722222219</v>
      </c>
      <c r="J1495" s="2" t="s">
        <v>11555</v>
      </c>
    </row>
    <row r="1496" spans="1:10" ht="180" x14ac:dyDescent="0.25">
      <c r="A1496" s="2" t="s">
        <v>114</v>
      </c>
      <c r="B1496" s="2">
        <v>305.80097293</v>
      </c>
      <c r="C1496" s="2" t="s">
        <v>3673</v>
      </c>
      <c r="D1496" s="2" t="s">
        <v>3672</v>
      </c>
      <c r="E1496" s="2" t="s">
        <v>41</v>
      </c>
      <c r="F1496" s="3">
        <v>43711</v>
      </c>
      <c r="G1496" s="2" t="str">
        <f>"9780817392451"</f>
        <v>9780817392451</v>
      </c>
      <c r="H1496" s="2" t="s">
        <v>14</v>
      </c>
      <c r="I1496" s="4">
        <v>43767.713194444441</v>
      </c>
      <c r="J1496" s="2" t="s">
        <v>3674</v>
      </c>
    </row>
    <row r="1497" spans="1:10" ht="135" x14ac:dyDescent="0.25">
      <c r="A1497" s="2" t="s">
        <v>114</v>
      </c>
      <c r="B1497" s="2">
        <v>305.80098659999999</v>
      </c>
      <c r="C1497" s="2" t="s">
        <v>11539</v>
      </c>
      <c r="D1497" s="2" t="s">
        <v>11538</v>
      </c>
      <c r="E1497" s="2" t="s">
        <v>578</v>
      </c>
      <c r="F1497" s="3">
        <v>42088</v>
      </c>
      <c r="G1497" s="2" t="str">
        <f>"9780252097027"</f>
        <v>9780252097027</v>
      </c>
      <c r="H1497" s="2" t="s">
        <v>14</v>
      </c>
      <c r="I1497" s="4">
        <v>42935.625694444447</v>
      </c>
      <c r="J1497" s="2" t="s">
        <v>11540</v>
      </c>
    </row>
    <row r="1498" spans="1:10" ht="135" x14ac:dyDescent="0.25">
      <c r="A1498" s="2" t="s">
        <v>114</v>
      </c>
      <c r="B1498" s="2">
        <v>306.36209763090301</v>
      </c>
      <c r="C1498" s="2" t="s">
        <v>2509</v>
      </c>
      <c r="D1498" s="2" t="s">
        <v>2507</v>
      </c>
      <c r="E1498" s="2" t="s">
        <v>2508</v>
      </c>
      <c r="F1498" s="3">
        <v>43815</v>
      </c>
      <c r="G1498" s="2" t="str">
        <f>"9781469654065"</f>
        <v>9781469654065</v>
      </c>
      <c r="H1498" s="2" t="s">
        <v>14</v>
      </c>
      <c r="I1498" s="4">
        <v>43880.53402777778</v>
      </c>
      <c r="J1498" s="2" t="s">
        <v>2510</v>
      </c>
    </row>
    <row r="1499" spans="1:10" ht="135" x14ac:dyDescent="0.25">
      <c r="A1499" s="2" t="s">
        <v>114</v>
      </c>
      <c r="B1499" s="2">
        <v>301.29669000000001</v>
      </c>
      <c r="C1499" s="2" t="s">
        <v>1213</v>
      </c>
      <c r="D1499" s="2" t="s">
        <v>1211</v>
      </c>
      <c r="E1499" s="2" t="s">
        <v>1212</v>
      </c>
      <c r="F1499" s="3">
        <v>41851</v>
      </c>
      <c r="G1499" s="2" t="str">
        <f>"9781920033439"</f>
        <v>9781920033439</v>
      </c>
      <c r="H1499" s="2" t="s">
        <v>14</v>
      </c>
      <c r="I1499" s="4">
        <v>43956.072222222225</v>
      </c>
      <c r="J1499" s="2" t="s">
        <v>1214</v>
      </c>
    </row>
    <row r="1500" spans="1:10" ht="135" x14ac:dyDescent="0.25">
      <c r="A1500" s="2" t="s">
        <v>986</v>
      </c>
      <c r="D1500" s="2" t="s">
        <v>985</v>
      </c>
      <c r="E1500" s="2" t="s">
        <v>156</v>
      </c>
      <c r="F1500" s="3">
        <v>43941</v>
      </c>
      <c r="G1500" s="2" t="str">
        <f>"9781469654997"</f>
        <v>9781469654997</v>
      </c>
      <c r="H1500" s="2" t="s">
        <v>14</v>
      </c>
      <c r="I1500" s="4">
        <v>43970.272916666669</v>
      </c>
      <c r="J1500" s="2" t="s">
        <v>987</v>
      </c>
    </row>
    <row r="1501" spans="1:10" ht="135" x14ac:dyDescent="0.25">
      <c r="A1501" s="2" t="s">
        <v>6134</v>
      </c>
      <c r="D1501" s="2" t="s">
        <v>6133</v>
      </c>
      <c r="E1501" s="2" t="s">
        <v>46</v>
      </c>
      <c r="F1501" s="3">
        <v>43466</v>
      </c>
      <c r="G1501" s="2" t="str">
        <f>"9781496212450"</f>
        <v>9781496212450</v>
      </c>
      <c r="H1501" s="2" t="s">
        <v>14</v>
      </c>
      <c r="I1501" s="4">
        <v>43536.938194444447</v>
      </c>
      <c r="J1501" s="2" t="s">
        <v>6135</v>
      </c>
    </row>
    <row r="1502" spans="1:10" ht="135" x14ac:dyDescent="0.25">
      <c r="A1502" s="2" t="s">
        <v>3216</v>
      </c>
      <c r="B1502" s="2">
        <v>641.59730000000002</v>
      </c>
      <c r="C1502" s="2" t="s">
        <v>3217</v>
      </c>
      <c r="D1502" s="2" t="s">
        <v>3215</v>
      </c>
      <c r="E1502" s="2" t="s">
        <v>397</v>
      </c>
      <c r="F1502" s="3">
        <v>43190</v>
      </c>
      <c r="G1502" s="2" t="str">
        <f>"9780822983125"</f>
        <v>9780822983125</v>
      </c>
      <c r="H1502" s="2" t="s">
        <v>14</v>
      </c>
      <c r="I1502" s="4">
        <v>43797.576388888891</v>
      </c>
      <c r="J1502" s="2" t="s">
        <v>3218</v>
      </c>
    </row>
    <row r="1503" spans="1:10" ht="225" x14ac:dyDescent="0.25">
      <c r="A1503" s="2" t="s">
        <v>3216</v>
      </c>
      <c r="B1503" s="2">
        <v>641.50922000000003</v>
      </c>
      <c r="C1503" s="2" t="s">
        <v>4154</v>
      </c>
      <c r="D1503" s="2" t="s">
        <v>4153</v>
      </c>
      <c r="E1503" s="2" t="s">
        <v>156</v>
      </c>
      <c r="F1503" s="3">
        <v>42786</v>
      </c>
      <c r="G1503" s="2" t="str">
        <f>"9781469632551"</f>
        <v>9781469632551</v>
      </c>
      <c r="H1503" s="2" t="s">
        <v>14</v>
      </c>
      <c r="I1503" s="4">
        <v>43704.988194444442</v>
      </c>
      <c r="J1503" s="2" t="s">
        <v>4155</v>
      </c>
    </row>
    <row r="1504" spans="1:10" ht="135" x14ac:dyDescent="0.25">
      <c r="A1504" s="2" t="s">
        <v>2368</v>
      </c>
      <c r="B1504" s="2" t="s">
        <v>2369</v>
      </c>
      <c r="C1504" s="2" t="s">
        <v>2370</v>
      </c>
      <c r="D1504" s="2" t="s">
        <v>2367</v>
      </c>
      <c r="E1504" s="2" t="s">
        <v>322</v>
      </c>
      <c r="F1504" s="3">
        <v>43539</v>
      </c>
      <c r="G1504" s="2" t="str">
        <f>"9780820353654"</f>
        <v>9780820353654</v>
      </c>
      <c r="H1504" s="2" t="s">
        <v>14</v>
      </c>
      <c r="I1504" s="4">
        <v>43889.647222222222</v>
      </c>
      <c r="J1504" s="2" t="s">
        <v>2371</v>
      </c>
    </row>
    <row r="1505" spans="1:10" ht="135" x14ac:dyDescent="0.25">
      <c r="A1505" s="2" t="s">
        <v>518</v>
      </c>
      <c r="B1505" s="2">
        <v>70.400000000000006</v>
      </c>
      <c r="C1505" s="2" t="s">
        <v>4083</v>
      </c>
      <c r="D1505" s="2" t="s">
        <v>4082</v>
      </c>
      <c r="E1505" s="2" t="s">
        <v>578</v>
      </c>
      <c r="F1505" s="3">
        <v>42656</v>
      </c>
      <c r="G1505" s="2" t="str">
        <f>"9780252098956"</f>
        <v>9780252098956</v>
      </c>
      <c r="H1505" s="2" t="s">
        <v>14</v>
      </c>
      <c r="I1505" s="4">
        <v>43714.523611111108</v>
      </c>
      <c r="J1505" s="2" t="s">
        <v>4084</v>
      </c>
    </row>
    <row r="1506" spans="1:10" ht="135" x14ac:dyDescent="0.25">
      <c r="A1506" s="2" t="s">
        <v>518</v>
      </c>
      <c r="B1506" s="2" t="s">
        <v>4391</v>
      </c>
      <c r="C1506" s="2" t="s">
        <v>4392</v>
      </c>
      <c r="D1506" s="2" t="s">
        <v>4390</v>
      </c>
      <c r="E1506" s="2" t="s">
        <v>164</v>
      </c>
      <c r="F1506" s="3">
        <v>43449</v>
      </c>
      <c r="G1506" s="2" t="str">
        <f>"9780826360083"</f>
        <v>9780826360083</v>
      </c>
      <c r="H1506" s="2" t="s">
        <v>14</v>
      </c>
      <c r="I1506" s="4">
        <v>43675.427083333336</v>
      </c>
      <c r="J1506" s="2" t="s">
        <v>4393</v>
      </c>
    </row>
    <row r="1507" spans="1:10" ht="135" x14ac:dyDescent="0.25">
      <c r="A1507" s="2" t="s">
        <v>518</v>
      </c>
      <c r="B1507" s="2">
        <v>70</v>
      </c>
      <c r="C1507" s="2" t="s">
        <v>11320</v>
      </c>
      <c r="D1507" s="2" t="s">
        <v>11319</v>
      </c>
      <c r="E1507" s="2" t="s">
        <v>4660</v>
      </c>
      <c r="F1507" s="3">
        <v>34753</v>
      </c>
      <c r="G1507" s="2" t="str">
        <f>"9780813156507"</f>
        <v>9780813156507</v>
      </c>
      <c r="H1507" s="2" t="s">
        <v>14</v>
      </c>
      <c r="I1507" s="4">
        <v>42990.359027777777</v>
      </c>
      <c r="J1507" s="2" t="s">
        <v>11321</v>
      </c>
    </row>
    <row r="1508" spans="1:10" ht="135" x14ac:dyDescent="0.25">
      <c r="A1508" s="2" t="s">
        <v>518</v>
      </c>
      <c r="B1508" s="2">
        <v>70.092200000000005</v>
      </c>
      <c r="C1508" s="2" t="s">
        <v>582</v>
      </c>
      <c r="D1508" s="2" t="s">
        <v>581</v>
      </c>
      <c r="E1508" s="2" t="s">
        <v>260</v>
      </c>
      <c r="F1508" s="3">
        <v>43495</v>
      </c>
      <c r="G1508" s="2" t="str">
        <f>"9781439915592"</f>
        <v>9781439915592</v>
      </c>
      <c r="H1508" s="2" t="s">
        <v>14</v>
      </c>
      <c r="I1508" s="4">
        <v>44010.695138888892</v>
      </c>
      <c r="J1508" s="2" t="s">
        <v>583</v>
      </c>
    </row>
    <row r="1509" spans="1:10" ht="135" x14ac:dyDescent="0.25">
      <c r="A1509" s="2" t="s">
        <v>518</v>
      </c>
      <c r="B1509" s="2" t="s">
        <v>10347</v>
      </c>
      <c r="C1509" s="2" t="s">
        <v>10348</v>
      </c>
      <c r="D1509" s="2" t="s">
        <v>10346</v>
      </c>
      <c r="E1509" s="2" t="s">
        <v>89</v>
      </c>
      <c r="F1509" s="3">
        <v>42522</v>
      </c>
      <c r="G1509" s="2" t="str">
        <f>"9781785331046"</f>
        <v>9781785331046</v>
      </c>
      <c r="H1509" s="2" t="s">
        <v>14</v>
      </c>
      <c r="I1509" s="4">
        <v>43066.519444444442</v>
      </c>
      <c r="J1509" s="2" t="s">
        <v>10349</v>
      </c>
    </row>
    <row r="1510" spans="1:10" ht="135" x14ac:dyDescent="0.25">
      <c r="A1510" s="2" t="s">
        <v>518</v>
      </c>
      <c r="B1510" s="2">
        <v>70.430000000000007</v>
      </c>
      <c r="D1510" s="2" t="s">
        <v>517</v>
      </c>
      <c r="E1510" s="2" t="s">
        <v>73</v>
      </c>
      <c r="F1510" s="3">
        <v>43970</v>
      </c>
      <c r="G1510" s="2" t="str">
        <f>"9781452963617"</f>
        <v>9781452963617</v>
      </c>
      <c r="H1510" s="2" t="s">
        <v>14</v>
      </c>
      <c r="I1510" s="4">
        <v>44016.393750000003</v>
      </c>
      <c r="J1510" s="2" t="s">
        <v>519</v>
      </c>
    </row>
    <row r="1511" spans="1:10" ht="150" x14ac:dyDescent="0.25">
      <c r="A1511" s="2" t="s">
        <v>518</v>
      </c>
      <c r="C1511" s="2" t="s">
        <v>9232</v>
      </c>
      <c r="D1511" s="2" t="s">
        <v>9231</v>
      </c>
      <c r="E1511" s="2" t="s">
        <v>221</v>
      </c>
      <c r="F1511" s="3">
        <v>42815</v>
      </c>
      <c r="G1511" s="2" t="str">
        <f>"9789888390359"</f>
        <v>9789888390359</v>
      </c>
      <c r="H1511" s="2" t="s">
        <v>14</v>
      </c>
      <c r="I1511" s="4">
        <v>43198.585416666669</v>
      </c>
      <c r="J1511" s="2" t="s">
        <v>9233</v>
      </c>
    </row>
    <row r="1512" spans="1:10" ht="135" x14ac:dyDescent="0.25">
      <c r="A1512" s="2" t="s">
        <v>518</v>
      </c>
      <c r="B1512" s="2">
        <v>70.449297000000001</v>
      </c>
      <c r="D1512" s="2" t="s">
        <v>2718</v>
      </c>
      <c r="E1512" s="2" t="s">
        <v>69</v>
      </c>
      <c r="F1512" s="3">
        <v>43136</v>
      </c>
      <c r="G1512" s="2" t="str">
        <f>"9780253032560"</f>
        <v>9780253032560</v>
      </c>
      <c r="H1512" s="2" t="s">
        <v>14</v>
      </c>
      <c r="I1512" s="4">
        <v>43861.837500000001</v>
      </c>
      <c r="J1512" s="2" t="s">
        <v>2719</v>
      </c>
    </row>
    <row r="1513" spans="1:10" ht="135" x14ac:dyDescent="0.25">
      <c r="A1513" s="2" t="s">
        <v>518</v>
      </c>
      <c r="B1513" s="2">
        <v>70.900000000000006</v>
      </c>
      <c r="C1513" s="2" t="s">
        <v>3150</v>
      </c>
      <c r="D1513" s="2" t="s">
        <v>3149</v>
      </c>
      <c r="E1513" s="2" t="s">
        <v>2868</v>
      </c>
      <c r="F1513" s="3">
        <v>43525</v>
      </c>
      <c r="G1513" s="2" t="str">
        <f>"9781742244471"</f>
        <v>9781742244471</v>
      </c>
      <c r="H1513" s="2" t="s">
        <v>14</v>
      </c>
      <c r="I1513" s="4">
        <v>43804.477777777778</v>
      </c>
      <c r="J1513" s="2" t="s">
        <v>3151</v>
      </c>
    </row>
    <row r="1514" spans="1:10" ht="135" x14ac:dyDescent="0.25">
      <c r="A1514" s="2" t="s">
        <v>518</v>
      </c>
      <c r="B1514" s="2" t="s">
        <v>623</v>
      </c>
      <c r="C1514" s="2" t="s">
        <v>624</v>
      </c>
      <c r="D1514" s="2" t="s">
        <v>621</v>
      </c>
      <c r="E1514" s="2" t="s">
        <v>622</v>
      </c>
      <c r="F1514" s="3">
        <v>43647</v>
      </c>
      <c r="G1514" s="2" t="str">
        <f>"9780826274311"</f>
        <v>9780826274311</v>
      </c>
      <c r="H1514" s="2" t="s">
        <v>14</v>
      </c>
      <c r="I1514" s="4">
        <v>44006.658333333333</v>
      </c>
      <c r="J1514" s="2" t="s">
        <v>625</v>
      </c>
    </row>
    <row r="1515" spans="1:10" ht="135" x14ac:dyDescent="0.25">
      <c r="A1515" s="2" t="s">
        <v>518</v>
      </c>
      <c r="B1515" s="2">
        <v>79.680000000000007</v>
      </c>
      <c r="C1515" s="2" t="s">
        <v>3095</v>
      </c>
      <c r="D1515" s="2" t="s">
        <v>3094</v>
      </c>
      <c r="E1515" s="2" t="s">
        <v>397</v>
      </c>
      <c r="F1515" s="3">
        <v>43277</v>
      </c>
      <c r="G1515" s="2" t="str">
        <f>"9780822986089"</f>
        <v>9780822986089</v>
      </c>
      <c r="H1515" s="2" t="s">
        <v>14</v>
      </c>
      <c r="I1515" s="4">
        <v>43813.534722222219</v>
      </c>
      <c r="J1515" s="2" t="s">
        <v>3096</v>
      </c>
    </row>
    <row r="1516" spans="1:10" ht="165" x14ac:dyDescent="0.25">
      <c r="A1516" s="2" t="s">
        <v>518</v>
      </c>
      <c r="B1516" s="2">
        <v>70.408209730903394</v>
      </c>
      <c r="C1516" s="2" t="s">
        <v>2727</v>
      </c>
      <c r="D1516" s="2" t="s">
        <v>2726</v>
      </c>
      <c r="E1516" s="2" t="s">
        <v>455</v>
      </c>
      <c r="F1516" s="3">
        <v>42663</v>
      </c>
      <c r="G1516" s="2" t="str">
        <f>"9781631012327"</f>
        <v>9781631012327</v>
      </c>
      <c r="H1516" s="2" t="s">
        <v>14</v>
      </c>
      <c r="I1516" s="4">
        <v>43861.529166666667</v>
      </c>
      <c r="J1516" s="2" t="s">
        <v>2728</v>
      </c>
    </row>
    <row r="1517" spans="1:10" ht="210" x14ac:dyDescent="0.25">
      <c r="A1517" s="2" t="s">
        <v>518</v>
      </c>
      <c r="B1517" s="2">
        <v>70.449364942100004</v>
      </c>
      <c r="C1517" s="2" t="s">
        <v>11348</v>
      </c>
      <c r="D1517" s="2" t="s">
        <v>11346</v>
      </c>
      <c r="E1517" s="2" t="s">
        <v>11347</v>
      </c>
      <c r="F1517" s="3">
        <v>41884</v>
      </c>
      <c r="G1517" s="2" t="str">
        <f>"9781493014231"</f>
        <v>9781493014231</v>
      </c>
      <c r="H1517" s="2" t="s">
        <v>14</v>
      </c>
      <c r="I1517" s="4">
        <v>42986.665277777778</v>
      </c>
      <c r="J1517" s="2" t="s">
        <v>11349</v>
      </c>
    </row>
    <row r="1518" spans="1:10" ht="135" x14ac:dyDescent="0.25">
      <c r="A1518" s="2" t="s">
        <v>6665</v>
      </c>
      <c r="B1518" s="2">
        <v>70.180000000000007</v>
      </c>
      <c r="C1518" s="2" t="s">
        <v>9941</v>
      </c>
      <c r="D1518" s="2" t="s">
        <v>9940</v>
      </c>
      <c r="E1518" s="2" t="s">
        <v>80</v>
      </c>
      <c r="F1518" s="3">
        <v>42482</v>
      </c>
      <c r="G1518" s="2" t="str">
        <f>"9783653068429"</f>
        <v>9783653068429</v>
      </c>
      <c r="H1518" s="2" t="s">
        <v>14</v>
      </c>
      <c r="I1518" s="4">
        <v>43117.781944444447</v>
      </c>
      <c r="J1518" s="2" t="s">
        <v>9942</v>
      </c>
    </row>
    <row r="1519" spans="1:10" ht="135" x14ac:dyDescent="0.25">
      <c r="A1519" s="2" t="s">
        <v>6665</v>
      </c>
      <c r="B1519" s="2">
        <v>70.194000000000003</v>
      </c>
      <c r="C1519" s="2" t="s">
        <v>6666</v>
      </c>
      <c r="D1519" s="2" t="s">
        <v>6664</v>
      </c>
      <c r="E1519" s="2" t="s">
        <v>156</v>
      </c>
      <c r="F1519" s="3">
        <v>42779</v>
      </c>
      <c r="G1519" s="2" t="str">
        <f>"9781469633152"</f>
        <v>9781469633152</v>
      </c>
      <c r="H1519" s="2" t="s">
        <v>14</v>
      </c>
      <c r="I1519" s="4">
        <v>43498.84097222222</v>
      </c>
      <c r="J1519" s="2" t="s">
        <v>6667</v>
      </c>
    </row>
    <row r="1520" spans="1:10" ht="135" x14ac:dyDescent="0.25">
      <c r="A1520" s="2" t="s">
        <v>6665</v>
      </c>
      <c r="B1520" s="2">
        <v>70.180000000000007</v>
      </c>
      <c r="C1520" s="2" t="s">
        <v>9182</v>
      </c>
      <c r="D1520" s="2" t="s">
        <v>9181</v>
      </c>
      <c r="E1520" s="2" t="s">
        <v>216</v>
      </c>
      <c r="F1520" s="3">
        <v>42657</v>
      </c>
      <c r="G1520" s="2" t="str">
        <f>"9781438462509"</f>
        <v>9781438462509</v>
      </c>
      <c r="H1520" s="2" t="s">
        <v>14</v>
      </c>
      <c r="I1520" s="4">
        <v>43202.565972222219</v>
      </c>
      <c r="J1520" s="2" t="s">
        <v>9183</v>
      </c>
    </row>
    <row r="1521" spans="1:10" ht="135" x14ac:dyDescent="0.25">
      <c r="A1521" s="2" t="s">
        <v>6031</v>
      </c>
      <c r="B1521" s="2">
        <v>52.094090399999999</v>
      </c>
      <c r="C1521" s="2" t="s">
        <v>6032</v>
      </c>
      <c r="D1521" s="2" t="s">
        <v>6030</v>
      </c>
      <c r="E1521" s="2" t="s">
        <v>80</v>
      </c>
      <c r="F1521" s="3">
        <v>42349</v>
      </c>
      <c r="G1521" s="2" t="str">
        <f>"9783653045949"</f>
        <v>9783653045949</v>
      </c>
      <c r="H1521" s="2" t="s">
        <v>14</v>
      </c>
      <c r="I1521" s="4">
        <v>43548.084722222222</v>
      </c>
      <c r="J1521" s="2" t="s">
        <v>6033</v>
      </c>
    </row>
    <row r="1522" spans="1:10" ht="135" x14ac:dyDescent="0.25">
      <c r="A1522" s="2" t="s">
        <v>2817</v>
      </c>
      <c r="B1522" s="2">
        <v>70.92</v>
      </c>
      <c r="C1522" s="2" t="s">
        <v>2818</v>
      </c>
      <c r="D1522" s="2" t="s">
        <v>2816</v>
      </c>
      <c r="E1522" s="2" t="s">
        <v>216</v>
      </c>
      <c r="F1522" s="3">
        <v>41913</v>
      </c>
      <c r="G1522" s="2" t="str">
        <f>"9781438452623"</f>
        <v>9781438452623</v>
      </c>
      <c r="H1522" s="2" t="s">
        <v>14</v>
      </c>
      <c r="I1522" s="4">
        <v>43851.806250000001</v>
      </c>
      <c r="J1522" s="2" t="s">
        <v>2819</v>
      </c>
    </row>
    <row r="1523" spans="1:10" ht="135" x14ac:dyDescent="0.25">
      <c r="A1523" s="2" t="s">
        <v>574</v>
      </c>
      <c r="B1523" s="2">
        <v>895.60992837000003</v>
      </c>
      <c r="C1523" s="2" t="s">
        <v>575</v>
      </c>
      <c r="D1523" s="2" t="s">
        <v>573</v>
      </c>
      <c r="E1523" s="2" t="s">
        <v>216</v>
      </c>
      <c r="F1523" s="3">
        <v>43586</v>
      </c>
      <c r="G1523" s="2" t="str">
        <f>"9781438473925"</f>
        <v>9781438473925</v>
      </c>
      <c r="H1523" s="2" t="s">
        <v>14</v>
      </c>
      <c r="I1523" s="4">
        <v>44011.396527777775</v>
      </c>
      <c r="J1523" s="2" t="s">
        <v>576</v>
      </c>
    </row>
    <row r="1524" spans="1:10" ht="165" x14ac:dyDescent="0.25">
      <c r="A1524" s="2" t="s">
        <v>1529</v>
      </c>
      <c r="B1524" s="2">
        <v>72.09</v>
      </c>
      <c r="C1524" s="2" t="s">
        <v>1082</v>
      </c>
      <c r="D1524" s="2" t="s">
        <v>1528</v>
      </c>
      <c r="E1524" s="2" t="s">
        <v>17</v>
      </c>
      <c r="F1524" s="3">
        <v>40819</v>
      </c>
      <c r="G1524" s="2" t="str">
        <f>"9780230347953"</f>
        <v>9780230347953</v>
      </c>
      <c r="H1524" s="2" t="s">
        <v>14</v>
      </c>
      <c r="I1524" s="4">
        <v>43938.637499999997</v>
      </c>
      <c r="J1524" s="2" t="s">
        <v>1530</v>
      </c>
    </row>
    <row r="1525" spans="1:10" ht="180" x14ac:dyDescent="0.25">
      <c r="A1525" s="2" t="s">
        <v>1529</v>
      </c>
      <c r="B1525" s="2">
        <v>302.23097200000001</v>
      </c>
      <c r="C1525" s="2" t="s">
        <v>7404</v>
      </c>
      <c r="D1525" s="2" t="s">
        <v>7403</v>
      </c>
      <c r="E1525" s="2" t="s">
        <v>156</v>
      </c>
      <c r="F1525" s="3">
        <v>43374</v>
      </c>
      <c r="G1525" s="2" t="str">
        <f>"9781469638140"</f>
        <v>9781469638140</v>
      </c>
      <c r="H1525" s="2" t="s">
        <v>14</v>
      </c>
      <c r="I1525" s="4">
        <v>43418.473611111112</v>
      </c>
      <c r="J1525" s="2" t="s">
        <v>7405</v>
      </c>
    </row>
    <row r="1526" spans="1:10" ht="135" x14ac:dyDescent="0.25">
      <c r="A1526" s="2" t="s">
        <v>333</v>
      </c>
      <c r="D1526" s="2" t="s">
        <v>332</v>
      </c>
      <c r="E1526" s="2" t="s">
        <v>46</v>
      </c>
      <c r="F1526" s="3">
        <v>44013</v>
      </c>
      <c r="G1526" s="2" t="str">
        <f>"9781496221919"</f>
        <v>9781496221919</v>
      </c>
      <c r="H1526" s="2" t="s">
        <v>14</v>
      </c>
      <c r="I1526" s="4">
        <v>44039.411111111112</v>
      </c>
      <c r="J1526" s="2" t="s">
        <v>334</v>
      </c>
    </row>
    <row r="1527" spans="1:10" ht="135" x14ac:dyDescent="0.25">
      <c r="A1527" s="2" t="s">
        <v>222</v>
      </c>
      <c r="B1527" s="2" t="s">
        <v>8585</v>
      </c>
      <c r="C1527" s="2" t="s">
        <v>8586</v>
      </c>
      <c r="D1527" s="2" t="s">
        <v>8584</v>
      </c>
      <c r="E1527" s="2" t="s">
        <v>2089</v>
      </c>
      <c r="F1527" s="3">
        <v>41791</v>
      </c>
      <c r="G1527" s="2" t="str">
        <f>"9781575068879"</f>
        <v>9781575068879</v>
      </c>
      <c r="H1527" s="2" t="s">
        <v>14</v>
      </c>
      <c r="I1527" s="4">
        <v>43285.502083333333</v>
      </c>
      <c r="J1527" s="2" t="s">
        <v>8587</v>
      </c>
    </row>
    <row r="1528" spans="1:10" ht="135" x14ac:dyDescent="0.25">
      <c r="A1528" s="2" t="s">
        <v>222</v>
      </c>
      <c r="B1528" s="2">
        <v>418.00709999999998</v>
      </c>
      <c r="C1528" s="2" t="s">
        <v>4295</v>
      </c>
      <c r="D1528" s="2" t="s">
        <v>4294</v>
      </c>
      <c r="E1528" s="2" t="s">
        <v>499</v>
      </c>
      <c r="F1528" s="3">
        <v>43160</v>
      </c>
      <c r="G1528" s="2" t="str">
        <f>"9781626165786"</f>
        <v>9781626165786</v>
      </c>
      <c r="H1528" s="2" t="s">
        <v>14</v>
      </c>
      <c r="I1528" s="4">
        <v>43684.604861111111</v>
      </c>
      <c r="J1528" s="2" t="s">
        <v>4296</v>
      </c>
    </row>
    <row r="1529" spans="1:10" ht="135" x14ac:dyDescent="0.25">
      <c r="A1529" s="2" t="s">
        <v>222</v>
      </c>
      <c r="B1529" s="2" t="s">
        <v>12252</v>
      </c>
      <c r="C1529" s="2" t="s">
        <v>12253</v>
      </c>
      <c r="D1529" s="2" t="s">
        <v>12251</v>
      </c>
      <c r="E1529" s="2" t="s">
        <v>499</v>
      </c>
      <c r="F1529" s="3">
        <v>42360</v>
      </c>
      <c r="G1529" s="2" t="str">
        <f>"9781626163287"</f>
        <v>9781626163287</v>
      </c>
      <c r="H1529" s="2" t="s">
        <v>14</v>
      </c>
      <c r="I1529" s="4">
        <v>42826.490277777775</v>
      </c>
      <c r="J1529" s="2" t="s">
        <v>12254</v>
      </c>
    </row>
    <row r="1530" spans="1:10" ht="150" x14ac:dyDescent="0.25">
      <c r="A1530" s="2" t="s">
        <v>222</v>
      </c>
      <c r="B1530" s="2" t="s">
        <v>11187</v>
      </c>
      <c r="C1530" s="2" t="s">
        <v>11188</v>
      </c>
      <c r="D1530" s="2" t="s">
        <v>11186</v>
      </c>
      <c r="E1530" s="2" t="s">
        <v>216</v>
      </c>
      <c r="F1530" s="3">
        <v>41944</v>
      </c>
      <c r="G1530" s="2" t="str">
        <f>"9781438454009"</f>
        <v>9781438454009</v>
      </c>
      <c r="H1530" s="2" t="s">
        <v>14</v>
      </c>
      <c r="I1530" s="4">
        <v>43009.497916666667</v>
      </c>
      <c r="J1530" s="2" t="s">
        <v>11189</v>
      </c>
    </row>
    <row r="1531" spans="1:10" ht="135" x14ac:dyDescent="0.25">
      <c r="A1531" s="2" t="s">
        <v>222</v>
      </c>
      <c r="B1531" s="2">
        <v>404</v>
      </c>
      <c r="C1531" s="2" t="s">
        <v>12430</v>
      </c>
      <c r="D1531" s="2" t="s">
        <v>12429</v>
      </c>
      <c r="E1531" s="2" t="s">
        <v>80</v>
      </c>
      <c r="F1531" s="3">
        <v>42453</v>
      </c>
      <c r="G1531" s="2" t="str">
        <f>"9783653063899"</f>
        <v>9783653063899</v>
      </c>
      <c r="H1531" s="2" t="s">
        <v>14</v>
      </c>
      <c r="I1531" s="4">
        <v>42807.458333333336</v>
      </c>
      <c r="J1531" s="2" t="s">
        <v>12431</v>
      </c>
    </row>
    <row r="1532" spans="1:10" ht="135" x14ac:dyDescent="0.25">
      <c r="A1532" s="2" t="s">
        <v>222</v>
      </c>
      <c r="B1532" s="2" t="s">
        <v>5994</v>
      </c>
      <c r="C1532" s="2" t="s">
        <v>12743</v>
      </c>
      <c r="D1532" s="2" t="s">
        <v>12742</v>
      </c>
      <c r="E1532" s="2" t="s">
        <v>2089</v>
      </c>
      <c r="F1532" s="3">
        <v>40513</v>
      </c>
      <c r="G1532" s="2" t="str">
        <f>"9781575066240"</f>
        <v>9781575066240</v>
      </c>
      <c r="H1532" s="2" t="s">
        <v>14</v>
      </c>
      <c r="I1532" s="4">
        <v>42778.622916666667</v>
      </c>
      <c r="J1532" s="2" t="s">
        <v>12744</v>
      </c>
    </row>
    <row r="1533" spans="1:10" ht="135" x14ac:dyDescent="0.25">
      <c r="A1533" s="2" t="s">
        <v>222</v>
      </c>
      <c r="B1533" s="2" t="s">
        <v>4438</v>
      </c>
      <c r="C1533" s="2" t="s">
        <v>4439</v>
      </c>
      <c r="D1533" s="2" t="s">
        <v>4437</v>
      </c>
      <c r="E1533" s="2" t="s">
        <v>11</v>
      </c>
      <c r="F1533" s="3">
        <v>42201</v>
      </c>
      <c r="G1533" s="2" t="str">
        <f>"9780813227849"</f>
        <v>9780813227849</v>
      </c>
      <c r="H1533" s="2" t="s">
        <v>14</v>
      </c>
      <c r="I1533" s="4">
        <v>43669.417361111111</v>
      </c>
      <c r="J1533" s="2" t="s">
        <v>4440</v>
      </c>
    </row>
    <row r="1534" spans="1:10" ht="135" x14ac:dyDescent="0.25">
      <c r="A1534" s="2" t="s">
        <v>222</v>
      </c>
      <c r="C1534" s="2" t="s">
        <v>188</v>
      </c>
      <c r="D1534" s="2" t="s">
        <v>4914</v>
      </c>
      <c r="E1534" s="2" t="s">
        <v>41</v>
      </c>
      <c r="F1534" s="3">
        <v>43144</v>
      </c>
      <c r="G1534" s="2" t="str">
        <f>"9780817391577"</f>
        <v>9780817391577</v>
      </c>
      <c r="H1534" s="2" t="s">
        <v>14</v>
      </c>
      <c r="I1534" s="4">
        <v>43618.575694444444</v>
      </c>
      <c r="J1534" s="2" t="s">
        <v>4915</v>
      </c>
    </row>
    <row r="1535" spans="1:10" ht="135" x14ac:dyDescent="0.25">
      <c r="A1535" s="2" t="s">
        <v>222</v>
      </c>
      <c r="B1535" s="2">
        <v>407</v>
      </c>
      <c r="C1535" s="2" t="s">
        <v>5295</v>
      </c>
      <c r="D1535" s="2" t="s">
        <v>5294</v>
      </c>
      <c r="E1535" s="2" t="s">
        <v>54</v>
      </c>
      <c r="F1535" s="3">
        <v>43081</v>
      </c>
      <c r="G1535" s="2" t="str">
        <f>"9781503604049"</f>
        <v>9781503604049</v>
      </c>
      <c r="H1535" s="2" t="s">
        <v>14</v>
      </c>
      <c r="I1535" s="4">
        <v>43605.967361111114</v>
      </c>
      <c r="J1535" s="2" t="s">
        <v>5296</v>
      </c>
    </row>
    <row r="1536" spans="1:10" ht="135" x14ac:dyDescent="0.25">
      <c r="A1536" s="2" t="s">
        <v>222</v>
      </c>
      <c r="B1536" s="2">
        <v>404.2</v>
      </c>
      <c r="C1536" s="2" t="s">
        <v>4678</v>
      </c>
      <c r="D1536" s="2" t="s">
        <v>4677</v>
      </c>
      <c r="E1536" s="2" t="s">
        <v>1230</v>
      </c>
      <c r="F1536" s="3">
        <v>43146</v>
      </c>
      <c r="G1536" s="2" t="str">
        <f>"9789027264541"</f>
        <v>9789027264541</v>
      </c>
      <c r="H1536" s="2" t="s">
        <v>14</v>
      </c>
      <c r="I1536" s="4">
        <v>43638.51458333333</v>
      </c>
      <c r="J1536" s="2" t="s">
        <v>4679</v>
      </c>
    </row>
    <row r="1537" spans="1:10" ht="135" x14ac:dyDescent="0.25">
      <c r="A1537" s="2" t="s">
        <v>222</v>
      </c>
      <c r="B1537" s="2">
        <v>400</v>
      </c>
      <c r="C1537" s="2" t="s">
        <v>12935</v>
      </c>
      <c r="D1537" s="2" t="s">
        <v>12934</v>
      </c>
      <c r="E1537" s="2" t="s">
        <v>80</v>
      </c>
      <c r="F1537" s="3">
        <v>41688</v>
      </c>
      <c r="G1537" s="2" t="str">
        <f>"9783653043730"</f>
        <v>9783653043730</v>
      </c>
      <c r="H1537" s="2" t="s">
        <v>14</v>
      </c>
      <c r="I1537" s="4">
        <v>42755.822916666664</v>
      </c>
      <c r="J1537" s="2" t="s">
        <v>12936</v>
      </c>
    </row>
    <row r="1538" spans="1:10" ht="135" x14ac:dyDescent="0.25">
      <c r="A1538" s="2" t="s">
        <v>222</v>
      </c>
      <c r="B1538" s="2">
        <v>495.15</v>
      </c>
      <c r="D1538" s="2" t="s">
        <v>220</v>
      </c>
      <c r="E1538" s="2" t="s">
        <v>221</v>
      </c>
      <c r="F1538" s="3">
        <v>43845</v>
      </c>
      <c r="G1538" s="2" t="str">
        <f>"9789882204782"</f>
        <v>9789882204782</v>
      </c>
      <c r="H1538" s="2" t="s">
        <v>14</v>
      </c>
      <c r="I1538" s="4">
        <v>44055.699305555558</v>
      </c>
      <c r="J1538" s="2" t="s">
        <v>223</v>
      </c>
    </row>
    <row r="1539" spans="1:10" ht="135" x14ac:dyDescent="0.25">
      <c r="A1539" s="2" t="s">
        <v>222</v>
      </c>
      <c r="B1539" s="2">
        <v>401.41</v>
      </c>
      <c r="C1539" s="2" t="s">
        <v>6814</v>
      </c>
      <c r="D1539" s="2" t="s">
        <v>6813</v>
      </c>
      <c r="E1539" s="2" t="s">
        <v>73</v>
      </c>
      <c r="F1539" s="3">
        <v>41830</v>
      </c>
      <c r="G1539" s="2" t="str">
        <f>"9781452942308"</f>
        <v>9781452942308</v>
      </c>
      <c r="H1539" s="2" t="s">
        <v>14</v>
      </c>
      <c r="I1539" s="4">
        <v>43484.500694444447</v>
      </c>
      <c r="J1539" s="2" t="s">
        <v>6815</v>
      </c>
    </row>
    <row r="1540" spans="1:10" ht="135" x14ac:dyDescent="0.25">
      <c r="A1540" s="2" t="s">
        <v>222</v>
      </c>
      <c r="B1540" s="2">
        <v>415.01835999999901</v>
      </c>
      <c r="C1540" s="2" t="s">
        <v>7671</v>
      </c>
      <c r="D1540" s="2" t="s">
        <v>7670</v>
      </c>
      <c r="E1540" s="2" t="s">
        <v>1230</v>
      </c>
      <c r="F1540" s="3">
        <v>42621</v>
      </c>
      <c r="G1540" s="2" t="str">
        <f>"9789027266606"</f>
        <v>9789027266606</v>
      </c>
      <c r="H1540" s="2" t="s">
        <v>14</v>
      </c>
      <c r="I1540" s="4">
        <v>43400.788888888892</v>
      </c>
      <c r="J1540" s="2" t="s">
        <v>7672</v>
      </c>
    </row>
    <row r="1541" spans="1:10" ht="135" x14ac:dyDescent="0.25">
      <c r="A1541" s="2" t="s">
        <v>222</v>
      </c>
      <c r="B1541" s="2" t="s">
        <v>11187</v>
      </c>
      <c r="C1541" s="2" t="s">
        <v>12398</v>
      </c>
      <c r="D1541" s="2" t="s">
        <v>12397</v>
      </c>
      <c r="E1541" s="2" t="s">
        <v>1230</v>
      </c>
      <c r="F1541" s="3">
        <v>40919</v>
      </c>
      <c r="G1541" s="2" t="str">
        <f>"9789027275028"</f>
        <v>9789027275028</v>
      </c>
      <c r="H1541" s="2" t="s">
        <v>14</v>
      </c>
      <c r="I1541" s="4">
        <v>42811.486805555556</v>
      </c>
      <c r="J1541" s="2" t="s">
        <v>12399</v>
      </c>
    </row>
    <row r="1542" spans="1:10" ht="135" x14ac:dyDescent="0.25">
      <c r="A1542" s="2" t="s">
        <v>222</v>
      </c>
      <c r="B1542" s="2">
        <v>428.2</v>
      </c>
      <c r="C1542" s="2" t="s">
        <v>9993</v>
      </c>
      <c r="D1542" s="2" t="s">
        <v>9992</v>
      </c>
      <c r="E1542" s="2" t="s">
        <v>221</v>
      </c>
      <c r="F1542" s="3">
        <v>42917</v>
      </c>
      <c r="G1542" s="2" t="str">
        <f>"9789888390465"</f>
        <v>9789888390465</v>
      </c>
      <c r="H1542" s="2" t="s">
        <v>14</v>
      </c>
      <c r="I1542" s="4">
        <v>43113.161111111112</v>
      </c>
      <c r="J1542" s="2" t="s">
        <v>9994</v>
      </c>
    </row>
    <row r="1543" spans="1:10" ht="135" x14ac:dyDescent="0.25">
      <c r="A1543" s="2" t="s">
        <v>222</v>
      </c>
      <c r="B1543" s="2">
        <v>492.77</v>
      </c>
      <c r="C1543" s="2" t="s">
        <v>8690</v>
      </c>
      <c r="D1543" s="2" t="s">
        <v>8689</v>
      </c>
      <c r="E1543" s="2" t="s">
        <v>80</v>
      </c>
      <c r="F1543" s="3">
        <v>41968</v>
      </c>
      <c r="G1543" s="2" t="str">
        <f>"9783653051742"</f>
        <v>9783653051742</v>
      </c>
      <c r="H1543" s="2" t="s">
        <v>14</v>
      </c>
      <c r="I1543" s="4">
        <v>43266.179166666669</v>
      </c>
      <c r="J1543" s="2" t="s">
        <v>8691</v>
      </c>
    </row>
    <row r="1544" spans="1:10" ht="135" x14ac:dyDescent="0.25">
      <c r="A1544" s="2" t="s">
        <v>222</v>
      </c>
      <c r="B1544" s="2">
        <v>410</v>
      </c>
      <c r="C1544" s="2" t="s">
        <v>3282</v>
      </c>
      <c r="D1544" s="2" t="s">
        <v>3281</v>
      </c>
      <c r="E1544" s="2" t="s">
        <v>50</v>
      </c>
      <c r="F1544" s="3">
        <v>43635</v>
      </c>
      <c r="G1544" s="2" t="str">
        <f>"9781496213594"</f>
        <v>9781496213594</v>
      </c>
      <c r="H1544" s="2" t="s">
        <v>14</v>
      </c>
      <c r="I1544" s="4">
        <v>43792.87777777778</v>
      </c>
      <c r="J1544" s="2" t="s">
        <v>3283</v>
      </c>
    </row>
    <row r="1545" spans="1:10" ht="135" x14ac:dyDescent="0.25">
      <c r="A1545" s="2" t="s">
        <v>222</v>
      </c>
      <c r="B1545" s="2">
        <v>404.20846</v>
      </c>
      <c r="C1545" s="2" t="s">
        <v>1231</v>
      </c>
      <c r="D1545" s="2" t="s">
        <v>1229</v>
      </c>
      <c r="E1545" s="2" t="s">
        <v>1230</v>
      </c>
      <c r="F1545" s="3">
        <v>42954</v>
      </c>
      <c r="G1545" s="2" t="str">
        <f>"9789027265395"</f>
        <v>9789027265395</v>
      </c>
      <c r="H1545" s="2" t="s">
        <v>14</v>
      </c>
      <c r="I1545" s="4">
        <v>43954.716666666667</v>
      </c>
      <c r="J1545" s="2" t="s">
        <v>1232</v>
      </c>
    </row>
    <row r="1546" spans="1:10" ht="180" x14ac:dyDescent="0.25">
      <c r="A1546" s="2" t="s">
        <v>222</v>
      </c>
      <c r="B1546" s="2">
        <v>498</v>
      </c>
      <c r="C1546" s="2" t="s">
        <v>8292</v>
      </c>
      <c r="D1546" s="2" t="s">
        <v>8291</v>
      </c>
      <c r="E1546" s="2" t="s">
        <v>390</v>
      </c>
      <c r="F1546" s="3">
        <v>43250</v>
      </c>
      <c r="G1546" s="2" t="str">
        <f>"9780268103712"</f>
        <v>9780268103712</v>
      </c>
      <c r="H1546" s="2" t="s">
        <v>14</v>
      </c>
      <c r="I1546" s="4">
        <v>43326.068749999999</v>
      </c>
      <c r="J1546" s="2" t="s">
        <v>8293</v>
      </c>
    </row>
    <row r="1547" spans="1:10" ht="135" x14ac:dyDescent="0.25">
      <c r="A1547" s="2" t="s">
        <v>222</v>
      </c>
      <c r="C1547" s="2" t="s">
        <v>2501</v>
      </c>
      <c r="D1547" s="2" t="s">
        <v>2500</v>
      </c>
      <c r="E1547" s="2" t="s">
        <v>80</v>
      </c>
      <c r="F1547" s="3">
        <v>41674</v>
      </c>
      <c r="G1547" s="2" t="str">
        <f>"9783653043907"</f>
        <v>9783653043907</v>
      </c>
      <c r="H1547" s="2" t="s">
        <v>14</v>
      </c>
      <c r="I1547" s="4">
        <v>43880.569444444445</v>
      </c>
      <c r="J1547" s="2" t="s">
        <v>2502</v>
      </c>
    </row>
    <row r="1548" spans="1:10" ht="135" x14ac:dyDescent="0.25">
      <c r="A1548" s="2" t="s">
        <v>222</v>
      </c>
      <c r="B1548" s="2" t="s">
        <v>12259</v>
      </c>
      <c r="C1548" s="2" t="s">
        <v>12260</v>
      </c>
      <c r="D1548" s="2" t="s">
        <v>12258</v>
      </c>
      <c r="E1548" s="2" t="s">
        <v>2089</v>
      </c>
      <c r="F1548" s="3">
        <v>42401</v>
      </c>
      <c r="G1548" s="2" t="str">
        <f>"9781575064222"</f>
        <v>9781575064222</v>
      </c>
      <c r="H1548" s="2" t="s">
        <v>14</v>
      </c>
      <c r="I1548" s="4">
        <v>42825.451388888891</v>
      </c>
      <c r="J1548" s="2" t="s">
        <v>12261</v>
      </c>
    </row>
    <row r="1549" spans="1:10" ht="135" x14ac:dyDescent="0.25">
      <c r="A1549" s="2" t="s">
        <v>222</v>
      </c>
      <c r="B1549" s="2">
        <v>401.47</v>
      </c>
      <c r="C1549" s="2" t="s">
        <v>11838</v>
      </c>
      <c r="D1549" s="2" t="s">
        <v>11837</v>
      </c>
      <c r="E1549" s="2" t="s">
        <v>499</v>
      </c>
      <c r="F1549" s="3">
        <v>42856</v>
      </c>
      <c r="G1549" s="2" t="str">
        <f>"9781626164208"</f>
        <v>9781626164208</v>
      </c>
      <c r="H1549" s="2" t="s">
        <v>14</v>
      </c>
      <c r="I1549" s="4">
        <v>42883.388888888891</v>
      </c>
      <c r="J1549" s="2" t="s">
        <v>11839</v>
      </c>
    </row>
    <row r="1550" spans="1:10" ht="135" x14ac:dyDescent="0.25">
      <c r="A1550" s="2" t="s">
        <v>222</v>
      </c>
      <c r="B1550" s="2" t="s">
        <v>11387</v>
      </c>
      <c r="C1550" s="2" t="s">
        <v>11388</v>
      </c>
      <c r="D1550" s="2" t="s">
        <v>11386</v>
      </c>
      <c r="E1550" s="2" t="s">
        <v>2089</v>
      </c>
      <c r="F1550" s="3">
        <v>41275</v>
      </c>
      <c r="G1550" s="2" t="str">
        <f>"9781575068558"</f>
        <v>9781575068558</v>
      </c>
      <c r="H1550" s="2" t="s">
        <v>14</v>
      </c>
      <c r="I1550" s="4">
        <v>42977.530555555553</v>
      </c>
      <c r="J1550" s="2" t="s">
        <v>11389</v>
      </c>
    </row>
    <row r="1551" spans="1:10" ht="135" x14ac:dyDescent="0.25">
      <c r="A1551" s="2" t="s">
        <v>222</v>
      </c>
      <c r="B1551" s="2">
        <v>412</v>
      </c>
      <c r="C1551" s="2" t="s">
        <v>6001</v>
      </c>
      <c r="D1551" s="2" t="s">
        <v>6000</v>
      </c>
      <c r="E1551" s="2" t="s">
        <v>397</v>
      </c>
      <c r="F1551" s="3">
        <v>43115</v>
      </c>
      <c r="G1551" s="2" t="str">
        <f>"9780822986300"</f>
        <v>9780822986300</v>
      </c>
      <c r="H1551" s="2" t="s">
        <v>14</v>
      </c>
      <c r="I1551" s="4">
        <v>43550.625</v>
      </c>
      <c r="J1551" s="2" t="s">
        <v>6002</v>
      </c>
    </row>
    <row r="1552" spans="1:10" ht="285" x14ac:dyDescent="0.25">
      <c r="A1552" s="2" t="s">
        <v>222</v>
      </c>
      <c r="B1552" s="2">
        <v>492.7</v>
      </c>
      <c r="C1552" s="2" t="s">
        <v>12079</v>
      </c>
      <c r="D1552" s="2" t="s">
        <v>12078</v>
      </c>
      <c r="E1552" s="2" t="s">
        <v>246</v>
      </c>
      <c r="F1552" s="3">
        <v>42491</v>
      </c>
      <c r="G1552" s="2" t="str">
        <f>"9783447194877"</f>
        <v>9783447194877</v>
      </c>
      <c r="H1552" s="2" t="s">
        <v>14</v>
      </c>
      <c r="I1552" s="4">
        <v>42852.379861111112</v>
      </c>
      <c r="J1552" s="2" t="s">
        <v>12080</v>
      </c>
    </row>
    <row r="1553" spans="1:10" ht="135" x14ac:dyDescent="0.25">
      <c r="A1553" s="2" t="s">
        <v>222</v>
      </c>
      <c r="B1553" s="2">
        <v>492.67824209999998</v>
      </c>
      <c r="C1553" s="2" t="s">
        <v>12035</v>
      </c>
      <c r="D1553" s="2" t="s">
        <v>12034</v>
      </c>
      <c r="E1553" s="2" t="s">
        <v>2089</v>
      </c>
      <c r="F1553" s="3">
        <v>40118</v>
      </c>
      <c r="G1553" s="2" t="str">
        <f>"9781575066523"</f>
        <v>9781575066523</v>
      </c>
      <c r="H1553" s="2" t="s">
        <v>14</v>
      </c>
      <c r="I1553" s="4">
        <v>42860.333333333336</v>
      </c>
      <c r="J1553" s="2" t="s">
        <v>12036</v>
      </c>
    </row>
    <row r="1554" spans="1:10" ht="195" x14ac:dyDescent="0.25">
      <c r="A1554" s="2" t="s">
        <v>222</v>
      </c>
      <c r="B1554" s="2" t="s">
        <v>10758</v>
      </c>
      <c r="C1554" s="2" t="s">
        <v>10759</v>
      </c>
      <c r="D1554" s="2" t="s">
        <v>10757</v>
      </c>
      <c r="E1554" s="2" t="s">
        <v>1230</v>
      </c>
      <c r="F1554" s="3">
        <v>31778</v>
      </c>
      <c r="G1554" s="2" t="str">
        <f>"9789027274427"</f>
        <v>9789027274427</v>
      </c>
      <c r="H1554" s="2" t="s">
        <v>14</v>
      </c>
      <c r="I1554" s="4">
        <v>43038.71597222222</v>
      </c>
      <c r="J1554" s="2" t="s">
        <v>10760</v>
      </c>
    </row>
    <row r="1555" spans="1:10" ht="135" x14ac:dyDescent="0.25">
      <c r="A1555" s="2" t="s">
        <v>222</v>
      </c>
      <c r="B1555" s="2">
        <v>400</v>
      </c>
      <c r="C1555" s="2" t="s">
        <v>11452</v>
      </c>
      <c r="D1555" s="2" t="s">
        <v>11451</v>
      </c>
      <c r="E1555" s="2" t="s">
        <v>674</v>
      </c>
      <c r="F1555" s="3">
        <v>42065</v>
      </c>
      <c r="G1555" s="2" t="str">
        <f>"9780823265381"</f>
        <v>9780823265381</v>
      </c>
      <c r="H1555" s="2" t="s">
        <v>14</v>
      </c>
      <c r="I1555" s="4">
        <v>42966.495833333334</v>
      </c>
      <c r="J1555" s="2" t="s">
        <v>11453</v>
      </c>
    </row>
    <row r="1556" spans="1:10" ht="135" x14ac:dyDescent="0.25">
      <c r="A1556" s="2" t="s">
        <v>222</v>
      </c>
      <c r="B1556" s="2" t="s">
        <v>10418</v>
      </c>
      <c r="C1556" s="2" t="s">
        <v>10419</v>
      </c>
      <c r="D1556" s="2" t="s">
        <v>10417</v>
      </c>
      <c r="E1556" s="2" t="s">
        <v>1698</v>
      </c>
      <c r="F1556" s="3">
        <v>41652</v>
      </c>
      <c r="G1556" s="2" t="str">
        <f>"9780674728523"</f>
        <v>9780674728523</v>
      </c>
      <c r="H1556" s="2" t="s">
        <v>14</v>
      </c>
      <c r="I1556" s="4">
        <v>43059.140972222223</v>
      </c>
      <c r="J1556" s="2" t="s">
        <v>10420</v>
      </c>
    </row>
    <row r="1557" spans="1:10" ht="135" x14ac:dyDescent="0.25">
      <c r="A1557" s="2" t="s">
        <v>222</v>
      </c>
      <c r="B1557" s="2" t="s">
        <v>2696</v>
      </c>
      <c r="C1557" s="2" t="s">
        <v>2697</v>
      </c>
      <c r="D1557" s="2" t="s">
        <v>2695</v>
      </c>
      <c r="E1557" s="2" t="s">
        <v>216</v>
      </c>
      <c r="F1557" s="3">
        <v>43405</v>
      </c>
      <c r="G1557" s="2" t="str">
        <f>"9781438471501"</f>
        <v>9781438471501</v>
      </c>
      <c r="H1557" s="2" t="s">
        <v>14</v>
      </c>
      <c r="I1557" s="4">
        <v>43864.428472222222</v>
      </c>
      <c r="J1557" s="2" t="s">
        <v>2698</v>
      </c>
    </row>
    <row r="1558" spans="1:10" ht="165" x14ac:dyDescent="0.25">
      <c r="A1558" s="2" t="s">
        <v>222</v>
      </c>
      <c r="B1558" s="2">
        <v>414.6</v>
      </c>
      <c r="C1558" s="2" t="s">
        <v>1483</v>
      </c>
      <c r="D1558" s="2" t="s">
        <v>6495</v>
      </c>
      <c r="E1558" s="2" t="s">
        <v>295</v>
      </c>
      <c r="F1558" s="3">
        <v>42082</v>
      </c>
      <c r="G1558" s="2" t="str">
        <f>"9783662451687"</f>
        <v>9783662451687</v>
      </c>
      <c r="H1558" s="2" t="s">
        <v>14</v>
      </c>
      <c r="I1558" s="4">
        <v>43513.717361111114</v>
      </c>
      <c r="J1558" s="2" t="s">
        <v>6496</v>
      </c>
    </row>
    <row r="1559" spans="1:10" ht="135" x14ac:dyDescent="0.25">
      <c r="A1559" s="2" t="s">
        <v>222</v>
      </c>
      <c r="B1559" s="2" t="s">
        <v>9396</v>
      </c>
      <c r="C1559" s="2" t="s">
        <v>9397</v>
      </c>
      <c r="D1559" s="2" t="s">
        <v>9395</v>
      </c>
      <c r="E1559" s="2" t="s">
        <v>2089</v>
      </c>
      <c r="F1559" s="3">
        <v>41153</v>
      </c>
      <c r="G1559" s="2" t="str">
        <f>"9781575066790"</f>
        <v>9781575066790</v>
      </c>
      <c r="H1559" s="2" t="s">
        <v>14</v>
      </c>
      <c r="I1559" s="4">
        <v>43174.65902777778</v>
      </c>
      <c r="J1559" s="2" t="s">
        <v>9398</v>
      </c>
    </row>
    <row r="1560" spans="1:10" ht="150" x14ac:dyDescent="0.25">
      <c r="A1560" s="2" t="s">
        <v>222</v>
      </c>
      <c r="B1560" s="2" t="s">
        <v>9396</v>
      </c>
      <c r="C1560" s="2" t="s">
        <v>9505</v>
      </c>
      <c r="D1560" s="2" t="s">
        <v>9504</v>
      </c>
      <c r="E1560" s="2" t="s">
        <v>2089</v>
      </c>
      <c r="F1560" s="3">
        <v>40878</v>
      </c>
      <c r="G1560" s="2" t="str">
        <f>"9781575066578"</f>
        <v>9781575066578</v>
      </c>
      <c r="H1560" s="2" t="s">
        <v>14</v>
      </c>
      <c r="I1560" s="4">
        <v>43160.623611111114</v>
      </c>
      <c r="J1560" s="2" t="s">
        <v>9506</v>
      </c>
    </row>
    <row r="1561" spans="1:10" ht="135" x14ac:dyDescent="0.25">
      <c r="A1561" s="2" t="s">
        <v>222</v>
      </c>
      <c r="B1561" s="2">
        <v>420.19</v>
      </c>
      <c r="C1561" s="2" t="s">
        <v>783</v>
      </c>
      <c r="D1561" s="2" t="s">
        <v>782</v>
      </c>
      <c r="E1561" s="2" t="s">
        <v>54</v>
      </c>
      <c r="F1561" s="3">
        <v>43424</v>
      </c>
      <c r="G1561" s="2" t="str">
        <f>"9781503607583"</f>
        <v>9781503607583</v>
      </c>
      <c r="H1561" s="2" t="s">
        <v>14</v>
      </c>
      <c r="I1561" s="4">
        <v>43987.451388888891</v>
      </c>
      <c r="J1561" s="2" t="s">
        <v>784</v>
      </c>
    </row>
    <row r="1562" spans="1:10" ht="135" x14ac:dyDescent="0.25">
      <c r="A1562" s="2" t="s">
        <v>222</v>
      </c>
      <c r="B1562" s="2">
        <v>499.95</v>
      </c>
      <c r="C1562" s="2" t="s">
        <v>11614</v>
      </c>
      <c r="D1562" s="2" t="s">
        <v>11613</v>
      </c>
      <c r="E1562" s="2" t="s">
        <v>2089</v>
      </c>
      <c r="F1562" s="3">
        <v>42036</v>
      </c>
      <c r="G1562" s="2" t="str">
        <f>"9781575063553"</f>
        <v>9781575063553</v>
      </c>
      <c r="H1562" s="2" t="s">
        <v>14</v>
      </c>
      <c r="I1562" s="4">
        <v>42921.40902777778</v>
      </c>
      <c r="J1562" s="2" t="s">
        <v>11615</v>
      </c>
    </row>
    <row r="1563" spans="1:10" ht="135" x14ac:dyDescent="0.25">
      <c r="A1563" s="2" t="s">
        <v>222</v>
      </c>
      <c r="B1563" s="2">
        <v>465.55</v>
      </c>
      <c r="C1563" s="2" t="s">
        <v>11467</v>
      </c>
      <c r="D1563" s="2" t="s">
        <v>11466</v>
      </c>
      <c r="E1563" s="2" t="s">
        <v>499</v>
      </c>
      <c r="F1563" s="3">
        <v>42053</v>
      </c>
      <c r="G1563" s="2" t="str">
        <f>"9781626161719"</f>
        <v>9781626161719</v>
      </c>
      <c r="H1563" s="2" t="s">
        <v>14</v>
      </c>
      <c r="I1563" s="4">
        <v>42955.618055555555</v>
      </c>
      <c r="J1563" s="2" t="s">
        <v>11468</v>
      </c>
    </row>
    <row r="1564" spans="1:10" ht="135" x14ac:dyDescent="0.25">
      <c r="A1564" s="2" t="s">
        <v>222</v>
      </c>
      <c r="B1564" s="2">
        <v>465</v>
      </c>
      <c r="C1564" s="2" t="s">
        <v>4025</v>
      </c>
      <c r="D1564" s="2" t="s">
        <v>4024</v>
      </c>
      <c r="E1564" s="2" t="s">
        <v>1230</v>
      </c>
      <c r="F1564" s="3">
        <v>42078</v>
      </c>
      <c r="G1564" s="2" t="str">
        <f>"9789027269102"</f>
        <v>9789027269102</v>
      </c>
      <c r="H1564" s="2" t="s">
        <v>14</v>
      </c>
      <c r="I1564" s="4">
        <v>43725.423611111109</v>
      </c>
      <c r="J1564" s="2" t="s">
        <v>4026</v>
      </c>
    </row>
    <row r="1565" spans="1:10" ht="135" x14ac:dyDescent="0.25">
      <c r="A1565" s="2" t="s">
        <v>222</v>
      </c>
      <c r="B1565" s="2">
        <v>492.45</v>
      </c>
      <c r="C1565" s="2" t="s">
        <v>5998</v>
      </c>
      <c r="D1565" s="2" t="s">
        <v>5997</v>
      </c>
      <c r="E1565" s="2" t="s">
        <v>2089</v>
      </c>
      <c r="F1565" s="3">
        <v>41913</v>
      </c>
      <c r="G1565" s="2" t="str">
        <f>"9781575064000"</f>
        <v>9781575064000</v>
      </c>
      <c r="H1565" s="2" t="s">
        <v>14</v>
      </c>
      <c r="I1565" s="4">
        <v>43551.432638888888</v>
      </c>
      <c r="J1565" s="2" t="s">
        <v>5999</v>
      </c>
    </row>
    <row r="1566" spans="1:10" ht="135" x14ac:dyDescent="0.25">
      <c r="A1566" s="2" t="s">
        <v>222</v>
      </c>
      <c r="B1566" s="2">
        <v>427.97308995999998</v>
      </c>
      <c r="C1566" s="2" t="s">
        <v>1112</v>
      </c>
      <c r="D1566" s="2" t="s">
        <v>1110</v>
      </c>
      <c r="E1566" s="2" t="s">
        <v>1111</v>
      </c>
      <c r="F1566" s="3">
        <v>42723</v>
      </c>
      <c r="G1566" s="2" t="str">
        <f>"9781942658214"</f>
        <v>9781942658214</v>
      </c>
      <c r="H1566" s="2" t="s">
        <v>14</v>
      </c>
      <c r="I1566" s="4">
        <v>43962.852777777778</v>
      </c>
      <c r="J1566" s="2" t="s">
        <v>1113</v>
      </c>
    </row>
    <row r="1567" spans="1:10" ht="195" x14ac:dyDescent="0.25">
      <c r="A1567" s="2" t="s">
        <v>222</v>
      </c>
      <c r="B1567" s="2">
        <v>407</v>
      </c>
      <c r="C1567" s="2" t="s">
        <v>9049</v>
      </c>
      <c r="D1567" s="2" t="s">
        <v>9048</v>
      </c>
      <c r="E1567" s="2" t="s">
        <v>80</v>
      </c>
      <c r="F1567" s="3">
        <v>41968</v>
      </c>
      <c r="G1567" s="2" t="str">
        <f>"9783653053944"</f>
        <v>9783653053944</v>
      </c>
      <c r="H1567" s="2" t="s">
        <v>14</v>
      </c>
      <c r="I1567" s="4">
        <v>43221.476388888892</v>
      </c>
      <c r="J1567" s="2" t="s">
        <v>9050</v>
      </c>
    </row>
    <row r="1568" spans="1:10" ht="135" x14ac:dyDescent="0.25">
      <c r="A1568" s="2" t="s">
        <v>222</v>
      </c>
      <c r="B1568" s="2" t="s">
        <v>6957</v>
      </c>
      <c r="C1568" s="2" t="s">
        <v>6958</v>
      </c>
      <c r="D1568" s="2" t="s">
        <v>6956</v>
      </c>
      <c r="E1568" s="2" t="s">
        <v>1230</v>
      </c>
      <c r="F1568" s="3">
        <v>42781</v>
      </c>
      <c r="G1568" s="2" t="str">
        <f>"9789027266491"</f>
        <v>9789027266491</v>
      </c>
      <c r="H1568" s="2" t="s">
        <v>14</v>
      </c>
      <c r="I1568" s="4">
        <v>43472.71875</v>
      </c>
      <c r="J1568" s="2" t="s">
        <v>6959</v>
      </c>
    </row>
    <row r="1569" spans="1:10" ht="150" x14ac:dyDescent="0.25">
      <c r="A1569" s="2" t="s">
        <v>222</v>
      </c>
      <c r="B1569" s="2">
        <v>410.92200000000003</v>
      </c>
      <c r="C1569" s="2" t="s">
        <v>4922</v>
      </c>
      <c r="D1569" s="2" t="s">
        <v>4920</v>
      </c>
      <c r="E1569" s="2" t="s">
        <v>4921</v>
      </c>
      <c r="F1569" s="3">
        <v>43293</v>
      </c>
      <c r="G1569" s="2" t="str">
        <f>"9781775822370"</f>
        <v>9781775822370</v>
      </c>
      <c r="H1569" s="2" t="s">
        <v>14</v>
      </c>
      <c r="I1569" s="4">
        <v>43617.717361111114</v>
      </c>
      <c r="J1569" s="2" t="s">
        <v>4923</v>
      </c>
    </row>
    <row r="1570" spans="1:10" ht="150" x14ac:dyDescent="0.25">
      <c r="A1570" s="2" t="s">
        <v>222</v>
      </c>
      <c r="B1570" s="2">
        <v>411.09</v>
      </c>
      <c r="C1570" s="2" t="s">
        <v>9625</v>
      </c>
      <c r="D1570" s="2" t="s">
        <v>9624</v>
      </c>
      <c r="E1570" s="2" t="s">
        <v>846</v>
      </c>
      <c r="F1570" s="3">
        <v>42550</v>
      </c>
      <c r="G1570" s="2" t="str">
        <f>"9781442624115"</f>
        <v>9781442624115</v>
      </c>
      <c r="H1570" s="2" t="s">
        <v>14</v>
      </c>
      <c r="I1570" s="4">
        <v>43144.542361111111</v>
      </c>
      <c r="J1570" s="2" t="s">
        <v>9626</v>
      </c>
    </row>
    <row r="1571" spans="1:10" ht="135" x14ac:dyDescent="0.25">
      <c r="A1571" s="2" t="s">
        <v>222</v>
      </c>
      <c r="B1571" s="2" t="s">
        <v>11351</v>
      </c>
      <c r="C1571" s="2" t="s">
        <v>11352</v>
      </c>
      <c r="D1571" s="2" t="s">
        <v>11350</v>
      </c>
      <c r="E1571" s="2" t="s">
        <v>2089</v>
      </c>
      <c r="F1571" s="3">
        <v>42461</v>
      </c>
      <c r="G1571" s="2" t="str">
        <f>"9781575064208"</f>
        <v>9781575064208</v>
      </c>
      <c r="H1571" s="2" t="s">
        <v>14</v>
      </c>
      <c r="I1571" s="4">
        <v>42985.94027777778</v>
      </c>
      <c r="J1571" s="2" t="s">
        <v>11353</v>
      </c>
    </row>
    <row r="1572" spans="1:10" ht="135" x14ac:dyDescent="0.25">
      <c r="A1572" s="2" t="s">
        <v>222</v>
      </c>
      <c r="B1572" s="2" t="s">
        <v>5994</v>
      </c>
      <c r="C1572" s="2" t="s">
        <v>5995</v>
      </c>
      <c r="D1572" s="2" t="s">
        <v>5993</v>
      </c>
      <c r="E1572" s="2" t="s">
        <v>2089</v>
      </c>
      <c r="F1572" s="3">
        <v>42583</v>
      </c>
      <c r="G1572" s="2" t="str">
        <f>"9781575064628"</f>
        <v>9781575064628</v>
      </c>
      <c r="H1572" s="2" t="s">
        <v>14</v>
      </c>
      <c r="I1572" s="4">
        <v>43551.43472222222</v>
      </c>
      <c r="J1572" s="2" t="s">
        <v>5996</v>
      </c>
    </row>
    <row r="1573" spans="1:10" ht="135" x14ac:dyDescent="0.25">
      <c r="A1573" s="2" t="s">
        <v>222</v>
      </c>
      <c r="B1573" s="2" t="s">
        <v>11383</v>
      </c>
      <c r="C1573" s="2" t="s">
        <v>11384</v>
      </c>
      <c r="D1573" s="2" t="s">
        <v>11382</v>
      </c>
      <c r="E1573" s="2" t="s">
        <v>1230</v>
      </c>
      <c r="F1573" s="3">
        <v>42719</v>
      </c>
      <c r="G1573" s="2" t="str">
        <f>"9789027266316"</f>
        <v>9789027266316</v>
      </c>
      <c r="H1573" s="2" t="s">
        <v>14</v>
      </c>
      <c r="I1573" s="4">
        <v>42977.618055555555</v>
      </c>
      <c r="J1573" s="2" t="s">
        <v>11385</v>
      </c>
    </row>
    <row r="1574" spans="1:10" ht="135" x14ac:dyDescent="0.25">
      <c r="A1574" s="2" t="s">
        <v>222</v>
      </c>
      <c r="B1574" s="2" t="s">
        <v>9322</v>
      </c>
      <c r="C1574" s="2" t="s">
        <v>9323</v>
      </c>
      <c r="D1574" s="2" t="s">
        <v>9321</v>
      </c>
      <c r="E1574" s="2" t="s">
        <v>216</v>
      </c>
      <c r="F1574" s="3">
        <v>42005</v>
      </c>
      <c r="G1574" s="2" t="str">
        <f>"9781438455129"</f>
        <v>9781438455129</v>
      </c>
      <c r="H1574" s="2" t="s">
        <v>14</v>
      </c>
      <c r="I1574" s="4">
        <v>43185.925694444442</v>
      </c>
      <c r="J1574" s="2" t="s">
        <v>9324</v>
      </c>
    </row>
    <row r="1575" spans="1:10" ht="135" x14ac:dyDescent="0.25">
      <c r="A1575" s="2" t="s">
        <v>222</v>
      </c>
      <c r="B1575" s="2">
        <v>418.02</v>
      </c>
      <c r="C1575" s="2" t="s">
        <v>6045</v>
      </c>
      <c r="D1575" s="2" t="s">
        <v>6044</v>
      </c>
      <c r="E1575" s="2" t="s">
        <v>455</v>
      </c>
      <c r="F1575" s="3">
        <v>42399</v>
      </c>
      <c r="G1575" s="2" t="str">
        <f>"9781631011467"</f>
        <v>9781631011467</v>
      </c>
      <c r="H1575" s="2" t="s">
        <v>14</v>
      </c>
      <c r="I1575" s="4">
        <v>43545.458333333336</v>
      </c>
      <c r="J1575" s="2" t="s">
        <v>6046</v>
      </c>
    </row>
    <row r="1576" spans="1:10" ht="135" x14ac:dyDescent="0.25">
      <c r="A1576" s="2" t="s">
        <v>187</v>
      </c>
      <c r="B1576" s="2">
        <v>820.99287090329994</v>
      </c>
      <c r="C1576" s="2" t="s">
        <v>1483</v>
      </c>
      <c r="D1576" s="2" t="s">
        <v>1482</v>
      </c>
      <c r="E1576" s="2" t="s">
        <v>17</v>
      </c>
      <c r="F1576" s="3">
        <v>40198</v>
      </c>
      <c r="G1576" s="2" t="str">
        <f>"9780230250505"</f>
        <v>9780230250505</v>
      </c>
      <c r="H1576" s="2" t="s">
        <v>14</v>
      </c>
      <c r="I1576" s="4">
        <v>43941.697916666664</v>
      </c>
      <c r="J1576" s="2" t="s">
        <v>1484</v>
      </c>
    </row>
    <row r="1577" spans="1:10" ht="135" x14ac:dyDescent="0.25">
      <c r="A1577" s="2" t="s">
        <v>187</v>
      </c>
      <c r="B1577" s="2">
        <v>808.00710000000004</v>
      </c>
      <c r="C1577" s="2" t="s">
        <v>11982</v>
      </c>
      <c r="D1577" s="2" t="s">
        <v>11981</v>
      </c>
      <c r="E1577" s="2" t="s">
        <v>80</v>
      </c>
      <c r="F1577" s="3">
        <v>42451</v>
      </c>
      <c r="G1577" s="2" t="str">
        <f>"9783653066142"</f>
        <v>9783653066142</v>
      </c>
      <c r="H1577" s="2" t="s">
        <v>14</v>
      </c>
      <c r="I1577" s="4">
        <v>42864.956944444442</v>
      </c>
      <c r="J1577" s="2" t="s">
        <v>11983</v>
      </c>
    </row>
    <row r="1578" spans="1:10" ht="135" x14ac:dyDescent="0.25">
      <c r="A1578" s="2" t="s">
        <v>187</v>
      </c>
      <c r="B1578" s="2" t="s">
        <v>11391</v>
      </c>
      <c r="C1578" s="2" t="s">
        <v>11392</v>
      </c>
      <c r="D1578" s="2" t="s">
        <v>11390</v>
      </c>
      <c r="E1578" s="2" t="s">
        <v>310</v>
      </c>
      <c r="F1578" s="3">
        <v>41827</v>
      </c>
      <c r="G1578" s="2" t="str">
        <f>"9780815652687"</f>
        <v>9780815652687</v>
      </c>
      <c r="H1578" s="2" t="s">
        <v>14</v>
      </c>
      <c r="I1578" s="4">
        <v>42977.479861111111</v>
      </c>
      <c r="J1578" s="2" t="s">
        <v>11393</v>
      </c>
    </row>
    <row r="1579" spans="1:10" ht="135" x14ac:dyDescent="0.25">
      <c r="A1579" s="2" t="s">
        <v>187</v>
      </c>
      <c r="B1579" s="2">
        <v>894.35329999999999</v>
      </c>
      <c r="C1579" s="2" t="s">
        <v>11341</v>
      </c>
      <c r="D1579" s="2" t="s">
        <v>11340</v>
      </c>
      <c r="E1579" s="2" t="s">
        <v>310</v>
      </c>
      <c r="F1579" s="3">
        <v>42443</v>
      </c>
      <c r="G1579" s="2" t="str">
        <f>"9780815653639"</f>
        <v>9780815653639</v>
      </c>
      <c r="H1579" s="2" t="s">
        <v>14</v>
      </c>
      <c r="I1579" s="4">
        <v>42986.915277777778</v>
      </c>
      <c r="J1579" s="2" t="s">
        <v>11342</v>
      </c>
    </row>
    <row r="1580" spans="1:10" ht="135" x14ac:dyDescent="0.25">
      <c r="A1580" s="2" t="s">
        <v>187</v>
      </c>
      <c r="B1580" s="2" t="s">
        <v>8486</v>
      </c>
      <c r="C1580" s="2" t="s">
        <v>8487</v>
      </c>
      <c r="D1580" s="2" t="s">
        <v>8485</v>
      </c>
      <c r="E1580" s="2" t="s">
        <v>2089</v>
      </c>
      <c r="F1580" s="3">
        <v>42552</v>
      </c>
      <c r="G1580" s="2" t="str">
        <f>"9781575064642"</f>
        <v>9781575064642</v>
      </c>
      <c r="H1580" s="2" t="s">
        <v>14</v>
      </c>
      <c r="I1580" s="4">
        <v>43301.446527777778</v>
      </c>
      <c r="J1580" s="2" t="s">
        <v>8488</v>
      </c>
    </row>
    <row r="1581" spans="1:10" ht="135" x14ac:dyDescent="0.25">
      <c r="A1581" s="2" t="s">
        <v>187</v>
      </c>
      <c r="B1581" s="2" t="s">
        <v>6631</v>
      </c>
      <c r="C1581" s="2" t="s">
        <v>6632</v>
      </c>
      <c r="D1581" s="2" t="s">
        <v>6630</v>
      </c>
      <c r="E1581" s="2" t="s">
        <v>41</v>
      </c>
      <c r="F1581" s="3">
        <v>43200</v>
      </c>
      <c r="G1581" s="2" t="str">
        <f>"9780817391720"</f>
        <v>9780817391720</v>
      </c>
      <c r="H1581" s="2" t="s">
        <v>14</v>
      </c>
      <c r="I1581" s="4">
        <v>43501.895138888889</v>
      </c>
      <c r="J1581" s="2" t="s">
        <v>6633</v>
      </c>
    </row>
    <row r="1582" spans="1:10" ht="150" x14ac:dyDescent="0.25">
      <c r="A1582" s="2" t="s">
        <v>187</v>
      </c>
      <c r="B1582" s="2">
        <v>894.35119999999995</v>
      </c>
      <c r="C1582" s="2" t="s">
        <v>311</v>
      </c>
      <c r="D1582" s="2" t="s">
        <v>309</v>
      </c>
      <c r="E1582" s="2" t="s">
        <v>310</v>
      </c>
      <c r="F1582" s="3">
        <v>43068</v>
      </c>
      <c r="G1582" s="2" t="str">
        <f>"9780815654155"</f>
        <v>9780815654155</v>
      </c>
      <c r="H1582" s="2" t="s">
        <v>14</v>
      </c>
      <c r="I1582" s="4">
        <v>44041.525000000001</v>
      </c>
      <c r="J1582" s="2" t="s">
        <v>312</v>
      </c>
    </row>
    <row r="1583" spans="1:10" ht="135" x14ac:dyDescent="0.25">
      <c r="A1583" s="2" t="s">
        <v>187</v>
      </c>
      <c r="D1583" s="2" t="s">
        <v>722</v>
      </c>
      <c r="E1583" s="2" t="s">
        <v>723</v>
      </c>
      <c r="F1583" s="3">
        <v>43876</v>
      </c>
      <c r="G1583" s="2" t="str">
        <f>"9781612496009"</f>
        <v>9781612496009</v>
      </c>
      <c r="H1583" s="2" t="s">
        <v>14</v>
      </c>
      <c r="I1583" s="4">
        <v>43996.63958333333</v>
      </c>
      <c r="J1583" s="2" t="s">
        <v>724</v>
      </c>
    </row>
    <row r="1584" spans="1:10" ht="135" x14ac:dyDescent="0.25">
      <c r="A1584" s="2" t="s">
        <v>187</v>
      </c>
      <c r="B1584" s="2">
        <v>896.39851008999995</v>
      </c>
      <c r="C1584" s="2" t="s">
        <v>1308</v>
      </c>
      <c r="D1584" s="2" t="s">
        <v>1307</v>
      </c>
      <c r="E1584" s="2" t="s">
        <v>28</v>
      </c>
      <c r="F1584" s="3">
        <v>43664</v>
      </c>
      <c r="G1584" s="2" t="str">
        <f>"9780813942773"</f>
        <v>9780813942773</v>
      </c>
      <c r="H1584" s="2" t="s">
        <v>14</v>
      </c>
      <c r="I1584" s="4">
        <v>43949.593055555553</v>
      </c>
      <c r="J1584" s="2" t="s">
        <v>1309</v>
      </c>
    </row>
    <row r="1585" spans="1:10" ht="135" x14ac:dyDescent="0.25">
      <c r="A1585" s="2" t="s">
        <v>187</v>
      </c>
      <c r="B1585" s="2" t="s">
        <v>6693</v>
      </c>
      <c r="C1585" s="2" t="s">
        <v>6694</v>
      </c>
      <c r="D1585" s="2" t="s">
        <v>6692</v>
      </c>
      <c r="E1585" s="2" t="s">
        <v>216</v>
      </c>
      <c r="F1585" s="3">
        <v>43040</v>
      </c>
      <c r="G1585" s="2" t="str">
        <f>"9781438467412"</f>
        <v>9781438467412</v>
      </c>
      <c r="H1585" s="2" t="s">
        <v>14</v>
      </c>
      <c r="I1585" s="4">
        <v>43496.461111111108</v>
      </c>
      <c r="J1585" s="2" t="s">
        <v>6695</v>
      </c>
    </row>
    <row r="1586" spans="1:10" ht="135" x14ac:dyDescent="0.25">
      <c r="A1586" s="2" t="s">
        <v>187</v>
      </c>
      <c r="B1586" s="2">
        <v>808</v>
      </c>
      <c r="C1586" s="2" t="s">
        <v>188</v>
      </c>
      <c r="D1586" s="2" t="s">
        <v>186</v>
      </c>
      <c r="E1586" s="2" t="s">
        <v>41</v>
      </c>
      <c r="F1586" s="3">
        <v>42619</v>
      </c>
      <c r="G1586" s="2" t="str">
        <f>"9780817389949"</f>
        <v>9780817389949</v>
      </c>
      <c r="H1586" s="2" t="s">
        <v>14</v>
      </c>
      <c r="I1586" s="4">
        <v>44063.381249999999</v>
      </c>
      <c r="J1586" s="2" t="s">
        <v>189</v>
      </c>
    </row>
    <row r="1587" spans="1:10" ht="135" x14ac:dyDescent="0.25">
      <c r="A1587" s="2" t="s">
        <v>187</v>
      </c>
      <c r="B1587" s="2">
        <v>896.39232000000004</v>
      </c>
      <c r="C1587" s="2" t="s">
        <v>5793</v>
      </c>
      <c r="D1587" s="2" t="s">
        <v>5792</v>
      </c>
      <c r="E1587" s="2" t="s">
        <v>121</v>
      </c>
      <c r="F1587" s="3">
        <v>42309</v>
      </c>
      <c r="G1587" s="2" t="str">
        <f>"9781609174699"</f>
        <v>9781609174699</v>
      </c>
      <c r="H1587" s="2" t="s">
        <v>14</v>
      </c>
      <c r="I1587" s="4">
        <v>43570.784722222219</v>
      </c>
      <c r="J1587" s="2" t="s">
        <v>5794</v>
      </c>
    </row>
    <row r="1588" spans="1:10" ht="135" x14ac:dyDescent="0.25">
      <c r="A1588" s="2" t="s">
        <v>187</v>
      </c>
      <c r="B1588" s="2">
        <v>894.82709</v>
      </c>
      <c r="C1588" s="2" t="s">
        <v>7290</v>
      </c>
      <c r="D1588" s="2" t="s">
        <v>7289</v>
      </c>
      <c r="E1588" s="2" t="s">
        <v>216</v>
      </c>
      <c r="F1588" s="3">
        <v>42917</v>
      </c>
      <c r="G1588" s="2" t="str">
        <f>"9781438467771"</f>
        <v>9781438467771</v>
      </c>
      <c r="H1588" s="2" t="s">
        <v>14</v>
      </c>
      <c r="I1588" s="4">
        <v>43427.629861111112</v>
      </c>
      <c r="J1588" s="2" t="s">
        <v>7291</v>
      </c>
    </row>
    <row r="1589" spans="1:10" ht="135" x14ac:dyDescent="0.25">
      <c r="A1589" s="2" t="s">
        <v>187</v>
      </c>
      <c r="B1589" s="2" t="s">
        <v>10852</v>
      </c>
      <c r="C1589" s="2" t="s">
        <v>10853</v>
      </c>
      <c r="D1589" s="2" t="s">
        <v>10851</v>
      </c>
      <c r="E1589" s="2" t="s">
        <v>195</v>
      </c>
      <c r="F1589" s="3">
        <v>41900</v>
      </c>
      <c r="G1589" s="2" t="str">
        <f>"9780816598663"</f>
        <v>9780816598663</v>
      </c>
      <c r="H1589" s="2" t="s">
        <v>14</v>
      </c>
      <c r="I1589" s="4">
        <v>43031.834722222222</v>
      </c>
      <c r="J1589" s="2" t="s">
        <v>10854</v>
      </c>
    </row>
    <row r="1590" spans="1:10" ht="135" x14ac:dyDescent="0.25">
      <c r="A1590" s="2" t="s">
        <v>12269</v>
      </c>
      <c r="B1590" s="2">
        <v>891.85093529999995</v>
      </c>
      <c r="C1590" s="2" t="s">
        <v>12270</v>
      </c>
      <c r="D1590" s="2" t="s">
        <v>12268</v>
      </c>
      <c r="E1590" s="2" t="s">
        <v>80</v>
      </c>
      <c r="F1590" s="3">
        <v>42244</v>
      </c>
      <c r="G1590" s="2" t="str">
        <f>"9783653054422"</f>
        <v>9783653054422</v>
      </c>
      <c r="H1590" s="2" t="s">
        <v>14</v>
      </c>
      <c r="I1590" s="4">
        <v>42824.080555555556</v>
      </c>
      <c r="J1590" s="2" t="s">
        <v>12271</v>
      </c>
    </row>
    <row r="1591" spans="1:10" ht="135" x14ac:dyDescent="0.25">
      <c r="A1591" s="2" t="s">
        <v>11610</v>
      </c>
      <c r="B1591" s="2">
        <v>121.68</v>
      </c>
      <c r="C1591" s="2" t="s">
        <v>11611</v>
      </c>
      <c r="D1591" s="2" t="s">
        <v>11609</v>
      </c>
      <c r="E1591" s="2" t="s">
        <v>156</v>
      </c>
      <c r="F1591" s="3">
        <v>33586</v>
      </c>
      <c r="G1591" s="2" t="str">
        <f>"9781469616827"</f>
        <v>9781469616827</v>
      </c>
      <c r="H1591" s="2" t="s">
        <v>14</v>
      </c>
      <c r="I1591" s="4">
        <v>42921.412499999999</v>
      </c>
      <c r="J1591" s="2" t="s">
        <v>11612</v>
      </c>
    </row>
    <row r="1592" spans="1:10" ht="210" x14ac:dyDescent="0.25">
      <c r="A1592" s="2" t="s">
        <v>110</v>
      </c>
      <c r="B1592" s="2">
        <v>306.44200000000001</v>
      </c>
      <c r="C1592" s="2" t="s">
        <v>12427</v>
      </c>
      <c r="D1592" s="2" t="s">
        <v>12426</v>
      </c>
      <c r="E1592" s="2" t="s">
        <v>80</v>
      </c>
      <c r="F1592" s="3">
        <v>42458</v>
      </c>
      <c r="G1592" s="2" t="str">
        <f>"9783653054040"</f>
        <v>9783653054040</v>
      </c>
      <c r="H1592" s="2" t="s">
        <v>14</v>
      </c>
      <c r="I1592" s="4">
        <v>42807.459722222222</v>
      </c>
      <c r="J1592" s="2" t="s">
        <v>12428</v>
      </c>
    </row>
    <row r="1593" spans="1:10" ht="135" x14ac:dyDescent="0.25">
      <c r="A1593" s="2" t="s">
        <v>110</v>
      </c>
      <c r="B1593" s="2">
        <v>306.44</v>
      </c>
      <c r="C1593" s="2" t="s">
        <v>111</v>
      </c>
      <c r="D1593" s="2" t="s">
        <v>108</v>
      </c>
      <c r="E1593" s="2" t="s">
        <v>109</v>
      </c>
      <c r="F1593" s="3">
        <v>43396</v>
      </c>
      <c r="G1593" s="2" t="str">
        <f>"9780819578471"</f>
        <v>9780819578471</v>
      </c>
      <c r="H1593" s="2" t="s">
        <v>14</v>
      </c>
      <c r="I1593" s="4">
        <v>44071.5</v>
      </c>
      <c r="J1593" s="2" t="s">
        <v>112</v>
      </c>
    </row>
    <row r="1594" spans="1:10" ht="135" x14ac:dyDescent="0.25">
      <c r="A1594" s="2" t="s">
        <v>110</v>
      </c>
      <c r="B1594" s="2">
        <v>306.44</v>
      </c>
      <c r="C1594" s="2" t="s">
        <v>10099</v>
      </c>
      <c r="D1594" s="2" t="s">
        <v>10098</v>
      </c>
      <c r="E1594" s="2" t="s">
        <v>499</v>
      </c>
      <c r="F1594" s="3">
        <v>42766</v>
      </c>
      <c r="G1594" s="2" t="str">
        <f>"9781626164239"</f>
        <v>9781626164239</v>
      </c>
      <c r="H1594" s="2" t="s">
        <v>14</v>
      </c>
      <c r="I1594" s="4">
        <v>43103.493055555555</v>
      </c>
      <c r="J1594" s="2" t="s">
        <v>10100</v>
      </c>
    </row>
    <row r="1595" spans="1:10" ht="135" x14ac:dyDescent="0.25">
      <c r="A1595" s="2" t="s">
        <v>110</v>
      </c>
      <c r="B1595" s="2">
        <v>302.20951000000002</v>
      </c>
      <c r="C1595" s="2" t="s">
        <v>6632</v>
      </c>
      <c r="D1595" s="2" t="s">
        <v>10341</v>
      </c>
      <c r="E1595" s="2" t="s">
        <v>121</v>
      </c>
      <c r="F1595" s="3">
        <v>43009</v>
      </c>
      <c r="G1595" s="2" t="str">
        <f>"9781609175399"</f>
        <v>9781609175399</v>
      </c>
      <c r="H1595" s="2" t="s">
        <v>14</v>
      </c>
      <c r="I1595" s="4">
        <v>43066.724305555559</v>
      </c>
      <c r="J1595" s="2" t="s">
        <v>10342</v>
      </c>
    </row>
    <row r="1596" spans="1:10" ht="135" x14ac:dyDescent="0.25">
      <c r="A1596" s="2" t="s">
        <v>110</v>
      </c>
      <c r="B1596" s="2" t="s">
        <v>10622</v>
      </c>
      <c r="C1596" s="2" t="s">
        <v>10623</v>
      </c>
      <c r="D1596" s="2" t="s">
        <v>10621</v>
      </c>
      <c r="E1596" s="2" t="s">
        <v>499</v>
      </c>
      <c r="F1596" s="3">
        <v>42038</v>
      </c>
      <c r="G1596" s="2" t="str">
        <f>"9781626161535"</f>
        <v>9781626161535</v>
      </c>
      <c r="H1596" s="2" t="s">
        <v>14</v>
      </c>
      <c r="I1596" s="4">
        <v>43045.897916666669</v>
      </c>
      <c r="J1596" s="2" t="s">
        <v>10624</v>
      </c>
    </row>
    <row r="1597" spans="1:10" ht="135" x14ac:dyDescent="0.25">
      <c r="A1597" s="2" t="s">
        <v>110</v>
      </c>
      <c r="B1597" s="2" t="s">
        <v>5353</v>
      </c>
      <c r="C1597" s="2" t="s">
        <v>5354</v>
      </c>
      <c r="D1597" s="2" t="s">
        <v>5352</v>
      </c>
      <c r="E1597" s="2" t="s">
        <v>1230</v>
      </c>
      <c r="F1597" s="3">
        <v>42597</v>
      </c>
      <c r="G1597" s="2" t="str">
        <f>"9789027266736"</f>
        <v>9789027266736</v>
      </c>
      <c r="H1597" s="2" t="s">
        <v>14</v>
      </c>
      <c r="I1597" s="4">
        <v>43604.455555555556</v>
      </c>
      <c r="J1597" s="2" t="s">
        <v>5355</v>
      </c>
    </row>
    <row r="1598" spans="1:10" ht="165" x14ac:dyDescent="0.25">
      <c r="A1598" s="2" t="s">
        <v>110</v>
      </c>
      <c r="B1598" s="2">
        <v>306.44600000000003</v>
      </c>
      <c r="C1598" s="2" t="s">
        <v>10206</v>
      </c>
      <c r="D1598" s="2" t="s">
        <v>10205</v>
      </c>
      <c r="E1598" s="2" t="s">
        <v>80</v>
      </c>
      <c r="F1598" s="3">
        <v>41743</v>
      </c>
      <c r="G1598" s="2" t="str">
        <f>"9783653032291"</f>
        <v>9783653032291</v>
      </c>
      <c r="H1598" s="2" t="s">
        <v>14</v>
      </c>
      <c r="I1598" s="4">
        <v>43082.863888888889</v>
      </c>
      <c r="J1598" s="2" t="s">
        <v>10207</v>
      </c>
    </row>
    <row r="1599" spans="1:10" ht="135" x14ac:dyDescent="0.25">
      <c r="A1599" s="2" t="s">
        <v>1881</v>
      </c>
      <c r="B1599" s="2" t="s">
        <v>7422</v>
      </c>
      <c r="C1599" s="2" t="s">
        <v>7423</v>
      </c>
      <c r="D1599" s="2" t="s">
        <v>7421</v>
      </c>
      <c r="E1599" s="2" t="s">
        <v>54</v>
      </c>
      <c r="F1599" s="3">
        <v>42536</v>
      </c>
      <c r="G1599" s="2" t="str">
        <f>"9780804799119"</f>
        <v>9780804799119</v>
      </c>
      <c r="H1599" s="2" t="s">
        <v>14</v>
      </c>
      <c r="I1599" s="4">
        <v>43417.283333333333</v>
      </c>
      <c r="J1599" s="2" t="s">
        <v>7424</v>
      </c>
    </row>
    <row r="1600" spans="1:10" ht="135" x14ac:dyDescent="0.25">
      <c r="A1600" s="2" t="s">
        <v>1881</v>
      </c>
      <c r="B1600" s="2">
        <v>345.51023099999998</v>
      </c>
      <c r="C1600" s="2" t="s">
        <v>5553</v>
      </c>
      <c r="D1600" s="2" t="s">
        <v>5552</v>
      </c>
      <c r="E1600" s="2" t="s">
        <v>856</v>
      </c>
      <c r="F1600" s="3">
        <v>43070</v>
      </c>
      <c r="G1600" s="2" t="str">
        <f>"9780295742878"</f>
        <v>9780295742878</v>
      </c>
      <c r="H1600" s="2" t="s">
        <v>14</v>
      </c>
      <c r="I1600" s="4">
        <v>43591.308333333334</v>
      </c>
      <c r="J1600" s="2" t="s">
        <v>5554</v>
      </c>
    </row>
    <row r="1601" spans="1:10" ht="135" x14ac:dyDescent="0.25">
      <c r="A1601" s="2" t="s">
        <v>1881</v>
      </c>
      <c r="B1601" s="2">
        <v>340.11399999999998</v>
      </c>
      <c r="C1601" s="2" t="s">
        <v>1882</v>
      </c>
      <c r="D1601" s="2" t="s">
        <v>1880</v>
      </c>
      <c r="E1601" s="2" t="s">
        <v>1698</v>
      </c>
      <c r="F1601" s="3">
        <v>43746</v>
      </c>
      <c r="G1601" s="2" t="str">
        <f>"9780674243729"</f>
        <v>9780674243729</v>
      </c>
      <c r="H1601" s="2" t="s">
        <v>14</v>
      </c>
      <c r="I1601" s="4">
        <v>43923.459027777775</v>
      </c>
      <c r="J1601" s="2" t="s">
        <v>1883</v>
      </c>
    </row>
    <row r="1602" spans="1:10" ht="150" x14ac:dyDescent="0.25">
      <c r="A1602" s="2" t="s">
        <v>1881</v>
      </c>
      <c r="C1602" s="2" t="s">
        <v>3975</v>
      </c>
      <c r="D1602" s="2" t="s">
        <v>3974</v>
      </c>
      <c r="E1602" s="2" t="s">
        <v>268</v>
      </c>
      <c r="F1602" s="3">
        <v>43305</v>
      </c>
      <c r="G1602" s="2" t="str">
        <f>"9780815736646"</f>
        <v>9780815736646</v>
      </c>
      <c r="H1602" s="2" t="s">
        <v>14</v>
      </c>
      <c r="I1602" s="4">
        <v>43734.589583333334</v>
      </c>
      <c r="J1602" s="2" t="s">
        <v>3976</v>
      </c>
    </row>
    <row r="1603" spans="1:10" ht="135" x14ac:dyDescent="0.25">
      <c r="A1603" s="2" t="s">
        <v>1881</v>
      </c>
      <c r="B1603" s="2" t="s">
        <v>2877</v>
      </c>
      <c r="C1603" s="2" t="s">
        <v>2878</v>
      </c>
      <c r="D1603" s="2" t="s">
        <v>2876</v>
      </c>
      <c r="E1603" s="2" t="s">
        <v>499</v>
      </c>
      <c r="F1603" s="3">
        <v>42815</v>
      </c>
      <c r="G1603" s="2" t="str">
        <f>"9781626164338"</f>
        <v>9781626164338</v>
      </c>
      <c r="H1603" s="2" t="s">
        <v>14</v>
      </c>
      <c r="I1603" s="4">
        <v>43846.7</v>
      </c>
      <c r="J1603" s="2" t="s">
        <v>2879</v>
      </c>
    </row>
    <row r="1604" spans="1:10" ht="135" x14ac:dyDescent="0.25">
      <c r="A1604" s="2" t="s">
        <v>1881</v>
      </c>
      <c r="B1604" s="2">
        <v>342.56940873000002</v>
      </c>
      <c r="C1604" s="2" t="s">
        <v>3647</v>
      </c>
      <c r="D1604" s="2" t="s">
        <v>3646</v>
      </c>
      <c r="E1604" s="2" t="s">
        <v>54</v>
      </c>
      <c r="F1604" s="3">
        <v>43578</v>
      </c>
      <c r="G1604" s="2" t="str">
        <f>"9781503608832"</f>
        <v>9781503608832</v>
      </c>
      <c r="H1604" s="2" t="s">
        <v>14</v>
      </c>
      <c r="I1604" s="4">
        <v>43769.45208333333</v>
      </c>
      <c r="J1604" s="2" t="s">
        <v>3648</v>
      </c>
    </row>
    <row r="1605" spans="1:10" ht="135" x14ac:dyDescent="0.25">
      <c r="A1605" s="2" t="s">
        <v>1881</v>
      </c>
      <c r="B1605" s="2">
        <v>349.56939999999997</v>
      </c>
      <c r="C1605" s="2" t="s">
        <v>11301</v>
      </c>
      <c r="D1605" s="2" t="s">
        <v>11300</v>
      </c>
      <c r="E1605" s="2" t="s">
        <v>156</v>
      </c>
      <c r="F1605" s="3">
        <v>38913</v>
      </c>
      <c r="G1605" s="2" t="str">
        <f>"9780807877180"</f>
        <v>9780807877180</v>
      </c>
      <c r="H1605" s="2" t="s">
        <v>14</v>
      </c>
      <c r="I1605" s="4">
        <v>42992.466666666667</v>
      </c>
      <c r="J1605" s="2" t="s">
        <v>11302</v>
      </c>
    </row>
    <row r="1606" spans="1:10" ht="135" x14ac:dyDescent="0.25">
      <c r="A1606" s="2" t="s">
        <v>1881</v>
      </c>
      <c r="B1606" s="2">
        <v>349.56</v>
      </c>
      <c r="C1606" s="2" t="s">
        <v>5925</v>
      </c>
      <c r="D1606" s="2" t="s">
        <v>5924</v>
      </c>
      <c r="E1606" s="2" t="s">
        <v>69</v>
      </c>
      <c r="F1606" s="3">
        <v>42376</v>
      </c>
      <c r="G1606" s="2" t="str">
        <f>"9780253021007"</f>
        <v>9780253021007</v>
      </c>
      <c r="H1606" s="2" t="s">
        <v>14</v>
      </c>
      <c r="I1606" s="4">
        <v>43557.736111111109</v>
      </c>
      <c r="J1606" s="2" t="s">
        <v>5926</v>
      </c>
    </row>
    <row r="1607" spans="1:10" ht="135" x14ac:dyDescent="0.25">
      <c r="A1607" s="2" t="s">
        <v>1881</v>
      </c>
      <c r="B1607" s="2">
        <v>341.48</v>
      </c>
      <c r="C1607" s="2" t="s">
        <v>7866</v>
      </c>
      <c r="D1607" s="2" t="s">
        <v>7865</v>
      </c>
      <c r="E1607" s="2" t="s">
        <v>54</v>
      </c>
      <c r="F1607" s="3">
        <v>43214</v>
      </c>
      <c r="G1607" s="2" t="str">
        <f>"9781503605350"</f>
        <v>9781503605350</v>
      </c>
      <c r="H1607" s="2" t="s">
        <v>14</v>
      </c>
      <c r="I1607" s="4">
        <v>43382.95208333333</v>
      </c>
      <c r="J1607" s="2" t="s">
        <v>7867</v>
      </c>
    </row>
    <row r="1608" spans="1:10" ht="135" x14ac:dyDescent="0.25">
      <c r="A1608" s="2" t="s">
        <v>1881</v>
      </c>
      <c r="B1608" s="2">
        <v>346.59501499999999</v>
      </c>
      <c r="C1608" s="2" t="s">
        <v>3577</v>
      </c>
      <c r="D1608" s="2" t="s">
        <v>3576</v>
      </c>
      <c r="E1608" s="2" t="s">
        <v>856</v>
      </c>
      <c r="F1608" s="3">
        <v>43055</v>
      </c>
      <c r="G1608" s="2" t="str">
        <f>"9780295742564"</f>
        <v>9780295742564</v>
      </c>
      <c r="H1608" s="2" t="s">
        <v>14</v>
      </c>
      <c r="I1608" s="4">
        <v>43773.691666666666</v>
      </c>
      <c r="J1608" s="2" t="s">
        <v>3578</v>
      </c>
    </row>
    <row r="1609" spans="1:10" ht="135" x14ac:dyDescent="0.25">
      <c r="A1609" s="2" t="s">
        <v>1881</v>
      </c>
      <c r="B1609" s="2" t="s">
        <v>6368</v>
      </c>
      <c r="D1609" s="2" t="s">
        <v>6367</v>
      </c>
      <c r="E1609" s="2" t="s">
        <v>54</v>
      </c>
      <c r="F1609" s="3">
        <v>43067</v>
      </c>
      <c r="G1609" s="2" t="str">
        <f>"9781503603929"</f>
        <v>9781503603929</v>
      </c>
      <c r="H1609" s="2" t="s">
        <v>14</v>
      </c>
      <c r="I1609" s="4">
        <v>43521.743055555555</v>
      </c>
      <c r="J1609" s="2" t="s">
        <v>6369</v>
      </c>
    </row>
    <row r="1610" spans="1:10" ht="135" x14ac:dyDescent="0.25">
      <c r="A1610" s="2" t="s">
        <v>1881</v>
      </c>
      <c r="B1610" s="2">
        <v>341</v>
      </c>
      <c r="C1610" s="2" t="s">
        <v>8932</v>
      </c>
      <c r="D1610" s="2" t="s">
        <v>8931</v>
      </c>
      <c r="E1610" s="2" t="s">
        <v>268</v>
      </c>
      <c r="F1610" s="3">
        <v>38727</v>
      </c>
      <c r="G1610" s="2" t="str">
        <f>"9780870032929"</f>
        <v>9780870032929</v>
      </c>
      <c r="H1610" s="2" t="s">
        <v>14</v>
      </c>
      <c r="I1610" s="4">
        <v>43237.673611111109</v>
      </c>
      <c r="J1610" s="2" t="s">
        <v>8933</v>
      </c>
    </row>
    <row r="1611" spans="1:10" ht="135" x14ac:dyDescent="0.25">
      <c r="A1611" s="2" t="s">
        <v>1881</v>
      </c>
      <c r="B1611" s="2" t="s">
        <v>11664</v>
      </c>
      <c r="C1611" s="2" t="s">
        <v>11665</v>
      </c>
      <c r="D1611" s="2" t="s">
        <v>11663</v>
      </c>
      <c r="E1611" s="2" t="s">
        <v>856</v>
      </c>
      <c r="F1611" s="3">
        <v>42278</v>
      </c>
      <c r="G1611" s="2" t="str">
        <f>"9780295806174"</f>
        <v>9780295806174</v>
      </c>
      <c r="H1611" s="2" t="s">
        <v>14</v>
      </c>
      <c r="I1611" s="4">
        <v>42914.520833333336</v>
      </c>
      <c r="J1611" s="2" t="s">
        <v>11666</v>
      </c>
    </row>
    <row r="1612" spans="1:10" ht="150" x14ac:dyDescent="0.25">
      <c r="A1612" s="2" t="s">
        <v>1881</v>
      </c>
      <c r="B1612" s="2">
        <v>346.73043799999999</v>
      </c>
      <c r="D1612" s="2" t="s">
        <v>4004</v>
      </c>
      <c r="E1612" s="2" t="s">
        <v>627</v>
      </c>
      <c r="F1612" s="3">
        <v>43344</v>
      </c>
      <c r="G1612" s="2" t="str">
        <f>"9789633862650"</f>
        <v>9789633862650</v>
      </c>
      <c r="H1612" s="2" t="s">
        <v>14</v>
      </c>
      <c r="I1612" s="4">
        <v>43728.342361111114</v>
      </c>
      <c r="J1612" s="2" t="s">
        <v>4005</v>
      </c>
    </row>
    <row r="1613" spans="1:10" ht="180" x14ac:dyDescent="0.25">
      <c r="A1613" s="2" t="s">
        <v>1881</v>
      </c>
      <c r="B1613" s="2" t="s">
        <v>10786</v>
      </c>
      <c r="C1613" s="2" t="s">
        <v>10787</v>
      </c>
      <c r="D1613" s="2" t="s">
        <v>10785</v>
      </c>
      <c r="E1613" s="2" t="s">
        <v>41</v>
      </c>
      <c r="F1613" s="3">
        <v>42170</v>
      </c>
      <c r="G1613" s="2" t="str">
        <f>"9780817387990"</f>
        <v>9780817387990</v>
      </c>
      <c r="H1613" s="2" t="s">
        <v>14</v>
      </c>
      <c r="I1613" s="4">
        <v>43036.76458333333</v>
      </c>
      <c r="J1613" s="2" t="s">
        <v>10788</v>
      </c>
    </row>
    <row r="1614" spans="1:10" ht="135" x14ac:dyDescent="0.25">
      <c r="A1614" s="2" t="s">
        <v>7295</v>
      </c>
      <c r="B1614" s="2" t="s">
        <v>7296</v>
      </c>
      <c r="C1614" s="2" t="s">
        <v>7297</v>
      </c>
      <c r="D1614" s="2" t="s">
        <v>7294</v>
      </c>
      <c r="E1614" s="2" t="s">
        <v>585</v>
      </c>
      <c r="F1614" s="3">
        <v>42633</v>
      </c>
      <c r="G1614" s="2" t="str">
        <f>"9780226387789"</f>
        <v>9780226387789</v>
      </c>
      <c r="H1614" s="2" t="s">
        <v>14</v>
      </c>
      <c r="I1614" s="4">
        <v>43426.705555555556</v>
      </c>
      <c r="J1614" s="2" t="s">
        <v>7298</v>
      </c>
    </row>
    <row r="1615" spans="1:10" ht="135" x14ac:dyDescent="0.25">
      <c r="A1615" s="2" t="s">
        <v>11474</v>
      </c>
      <c r="B1615" s="2">
        <v>332.67309728700002</v>
      </c>
      <c r="C1615" s="2" t="s">
        <v>11475</v>
      </c>
      <c r="D1615" s="2" t="s">
        <v>11473</v>
      </c>
      <c r="E1615" s="2" t="s">
        <v>77</v>
      </c>
      <c r="F1615" s="3">
        <v>42551</v>
      </c>
      <c r="G1615" s="2" t="str">
        <f>"9781786070487"</f>
        <v>9781786070487</v>
      </c>
      <c r="H1615" s="2" t="s">
        <v>14</v>
      </c>
      <c r="I1615" s="4">
        <v>42954.598611111112</v>
      </c>
      <c r="J1615" s="2" t="s">
        <v>11476</v>
      </c>
    </row>
    <row r="1616" spans="1:10" ht="135" x14ac:dyDescent="0.25">
      <c r="A1616" s="2" t="s">
        <v>3580</v>
      </c>
      <c r="B1616" s="2">
        <v>945.05</v>
      </c>
      <c r="C1616" s="2" t="s">
        <v>3581</v>
      </c>
      <c r="D1616" s="2" t="s">
        <v>3579</v>
      </c>
      <c r="E1616" s="2" t="s">
        <v>846</v>
      </c>
      <c r="F1616" s="3">
        <v>42044</v>
      </c>
      <c r="G1616" s="2" t="str">
        <f>"9781442664517"</f>
        <v>9781442664517</v>
      </c>
      <c r="H1616" s="2" t="s">
        <v>14</v>
      </c>
      <c r="I1616" s="4">
        <v>43773.665972222225</v>
      </c>
      <c r="J1616" s="2" t="s">
        <v>3582</v>
      </c>
    </row>
    <row r="1617" spans="1:10" ht="135" x14ac:dyDescent="0.25">
      <c r="A1617" s="2" t="s">
        <v>3580</v>
      </c>
      <c r="B1617" s="2" t="s">
        <v>9570</v>
      </c>
      <c r="C1617" s="2" t="s">
        <v>9571</v>
      </c>
      <c r="D1617" s="2" t="s">
        <v>9568</v>
      </c>
      <c r="E1617" s="2" t="s">
        <v>9569</v>
      </c>
      <c r="F1617" s="3">
        <v>42089</v>
      </c>
      <c r="G1617" s="2" t="str">
        <f>"9780798304849"</f>
        <v>9780798304849</v>
      </c>
      <c r="H1617" s="2" t="s">
        <v>14</v>
      </c>
      <c r="I1617" s="4">
        <v>43151.627083333333</v>
      </c>
      <c r="J1617" s="2" t="s">
        <v>9572</v>
      </c>
    </row>
    <row r="1618" spans="1:10" ht="135" x14ac:dyDescent="0.25">
      <c r="A1618" s="2" t="s">
        <v>8093</v>
      </c>
      <c r="B1618" s="2">
        <v>341.58409599999999</v>
      </c>
      <c r="C1618" s="2" t="s">
        <v>265</v>
      </c>
      <c r="D1618" s="2" t="s">
        <v>8092</v>
      </c>
      <c r="E1618" s="2" t="s">
        <v>37</v>
      </c>
      <c r="F1618" s="3">
        <v>42765</v>
      </c>
      <c r="G1618" s="2" t="str">
        <f>"9783319449838"</f>
        <v>9783319449838</v>
      </c>
      <c r="H1618" s="2" t="s">
        <v>14</v>
      </c>
      <c r="I1618" s="4">
        <v>43354.298611111109</v>
      </c>
      <c r="J1618" s="2" t="s">
        <v>8094</v>
      </c>
    </row>
    <row r="1619" spans="1:10" ht="135" x14ac:dyDescent="0.25">
      <c r="A1619" s="2" t="s">
        <v>8093</v>
      </c>
      <c r="B1619" s="2">
        <v>341.2</v>
      </c>
      <c r="C1619" s="2" t="s">
        <v>11904</v>
      </c>
      <c r="D1619" s="2" t="s">
        <v>11903</v>
      </c>
      <c r="E1619" s="2" t="s">
        <v>499</v>
      </c>
      <c r="F1619" s="3">
        <v>41871</v>
      </c>
      <c r="G1619" s="2" t="str">
        <f>"9781626161214"</f>
        <v>9781626161214</v>
      </c>
      <c r="H1619" s="2" t="s">
        <v>14</v>
      </c>
      <c r="I1619" s="4">
        <v>42872.729861111111</v>
      </c>
      <c r="J1619" s="2" t="s">
        <v>11905</v>
      </c>
    </row>
    <row r="1620" spans="1:10" ht="135" x14ac:dyDescent="0.25">
      <c r="A1620" s="2" t="s">
        <v>3456</v>
      </c>
      <c r="B1620" s="2">
        <v>262.92200000000003</v>
      </c>
      <c r="C1620" s="2" t="s">
        <v>8320</v>
      </c>
      <c r="D1620" s="2" t="s">
        <v>8319</v>
      </c>
      <c r="E1620" s="2" t="s">
        <v>11</v>
      </c>
      <c r="F1620" s="3">
        <v>42550</v>
      </c>
      <c r="G1620" s="2" t="str">
        <f>"9780813228686"</f>
        <v>9780813228686</v>
      </c>
      <c r="H1620" s="2" t="s">
        <v>14</v>
      </c>
      <c r="I1620" s="4">
        <v>43321.6875</v>
      </c>
      <c r="J1620" s="2" t="s">
        <v>8321</v>
      </c>
    </row>
    <row r="1621" spans="1:10" ht="135" x14ac:dyDescent="0.25">
      <c r="A1621" s="2" t="s">
        <v>3456</v>
      </c>
      <c r="B1621" s="2">
        <v>262.89999999999998</v>
      </c>
      <c r="C1621" s="2" t="s">
        <v>3457</v>
      </c>
      <c r="D1621" s="2" t="s">
        <v>3455</v>
      </c>
      <c r="E1621" s="2" t="s">
        <v>11</v>
      </c>
      <c r="F1621" s="3">
        <v>43738</v>
      </c>
      <c r="G1621" s="2" t="str">
        <f>"9780813231945"</f>
        <v>9780813231945</v>
      </c>
      <c r="H1621" s="2" t="s">
        <v>14</v>
      </c>
      <c r="I1621" s="4">
        <v>43781.416666666664</v>
      </c>
      <c r="J1621" s="2" t="s">
        <v>3458</v>
      </c>
    </row>
    <row r="1622" spans="1:10" ht="135" x14ac:dyDescent="0.25">
      <c r="A1622" s="2" t="s">
        <v>1738</v>
      </c>
      <c r="B1622" s="2">
        <v>342.08771999999999</v>
      </c>
      <c r="C1622" s="2" t="s">
        <v>12419</v>
      </c>
      <c r="D1622" s="2" t="s">
        <v>12418</v>
      </c>
      <c r="E1622" s="2" t="s">
        <v>723</v>
      </c>
      <c r="F1622" s="3">
        <v>41075</v>
      </c>
      <c r="G1622" s="2" t="str">
        <f>"9781612492056"</f>
        <v>9781612492056</v>
      </c>
      <c r="H1622" s="2" t="s">
        <v>14</v>
      </c>
      <c r="I1622" s="4">
        <v>42808.439583333333</v>
      </c>
      <c r="J1622" s="2" t="s">
        <v>12420</v>
      </c>
    </row>
    <row r="1623" spans="1:10" ht="135" x14ac:dyDescent="0.25">
      <c r="A1623" s="2" t="s">
        <v>1738</v>
      </c>
      <c r="B1623" s="2" t="s">
        <v>1747</v>
      </c>
      <c r="C1623" s="2" t="s">
        <v>38</v>
      </c>
      <c r="D1623" s="2" t="s">
        <v>1746</v>
      </c>
      <c r="E1623" s="2" t="s">
        <v>17</v>
      </c>
      <c r="F1623" s="3">
        <v>42062</v>
      </c>
      <c r="G1623" s="2" t="str">
        <f>"9781137390400"</f>
        <v>9781137390400</v>
      </c>
      <c r="H1623" s="2" t="s">
        <v>14</v>
      </c>
      <c r="I1623" s="4">
        <v>43929.32916666667</v>
      </c>
      <c r="J1623" s="2" t="s">
        <v>1748</v>
      </c>
    </row>
    <row r="1624" spans="1:10" ht="135" x14ac:dyDescent="0.25">
      <c r="A1624" s="2" t="s">
        <v>1738</v>
      </c>
      <c r="D1624" s="2" t="s">
        <v>1737</v>
      </c>
      <c r="E1624" s="2" t="s">
        <v>54</v>
      </c>
      <c r="F1624" s="3">
        <v>43928</v>
      </c>
      <c r="G1624" s="2" t="str">
        <f>"9781503611252"</f>
        <v>9781503611252</v>
      </c>
      <c r="H1624" s="2" t="s">
        <v>14</v>
      </c>
      <c r="I1624" s="4">
        <v>43929.709722222222</v>
      </c>
      <c r="J1624" s="2" t="s">
        <v>1739</v>
      </c>
    </row>
    <row r="1625" spans="1:10" ht="135" x14ac:dyDescent="0.25">
      <c r="A1625" s="2" t="s">
        <v>7162</v>
      </c>
      <c r="B1625" s="2">
        <v>27.7</v>
      </c>
      <c r="C1625" s="2" t="s">
        <v>8849</v>
      </c>
      <c r="D1625" s="2" t="s">
        <v>8848</v>
      </c>
      <c r="E1625" s="2" t="s">
        <v>7161</v>
      </c>
      <c r="F1625" s="3">
        <v>42720</v>
      </c>
      <c r="G1625" s="2" t="str">
        <f>"9780838915387"</f>
        <v>9780838915387</v>
      </c>
      <c r="H1625" s="2" t="s">
        <v>14</v>
      </c>
      <c r="I1625" s="4">
        <v>43247.550694444442</v>
      </c>
      <c r="J1625" s="2" t="s">
        <v>8850</v>
      </c>
    </row>
    <row r="1626" spans="1:10" ht="135" x14ac:dyDescent="0.25">
      <c r="A1626" s="2" t="s">
        <v>7162</v>
      </c>
      <c r="B1626" s="2">
        <v>27.073</v>
      </c>
      <c r="C1626" s="2" t="s">
        <v>7163</v>
      </c>
      <c r="D1626" s="2" t="s">
        <v>7160</v>
      </c>
      <c r="E1626" s="2" t="s">
        <v>7161</v>
      </c>
      <c r="F1626" s="3">
        <v>42079</v>
      </c>
      <c r="G1626" s="2" t="str">
        <f>"9780838913055"</f>
        <v>9780838913055</v>
      </c>
      <c r="H1626" s="2" t="s">
        <v>14</v>
      </c>
      <c r="I1626" s="4">
        <v>43439.481944444444</v>
      </c>
      <c r="J1626" s="2" t="s">
        <v>7164</v>
      </c>
    </row>
    <row r="1627" spans="1:10" ht="135" x14ac:dyDescent="0.25">
      <c r="A1627" s="2" t="s">
        <v>7162</v>
      </c>
      <c r="B1627" s="2">
        <v>21.2</v>
      </c>
      <c r="C1627" s="2" t="s">
        <v>10277</v>
      </c>
      <c r="D1627" s="2" t="s">
        <v>10275</v>
      </c>
      <c r="E1627" s="2" t="s">
        <v>10276</v>
      </c>
      <c r="F1627" s="3">
        <v>34243</v>
      </c>
      <c r="G1627" s="2" t="str">
        <f>"9781936117260"</f>
        <v>9781936117260</v>
      </c>
      <c r="H1627" s="2" t="s">
        <v>14</v>
      </c>
      <c r="I1627" s="4">
        <v>43074.598611111112</v>
      </c>
      <c r="J1627" s="2" t="s">
        <v>10278</v>
      </c>
    </row>
    <row r="1628" spans="1:10" ht="135" x14ac:dyDescent="0.25">
      <c r="A1628" s="2" t="s">
        <v>7162</v>
      </c>
      <c r="B1628" s="2">
        <v>25.3</v>
      </c>
      <c r="C1628" s="2" t="s">
        <v>11489</v>
      </c>
      <c r="D1628" s="2" t="s">
        <v>11488</v>
      </c>
      <c r="E1628" s="2" t="s">
        <v>235</v>
      </c>
      <c r="F1628" s="3">
        <v>41940</v>
      </c>
      <c r="G1628" s="2" t="str">
        <f>"9781610694865"</f>
        <v>9781610694865</v>
      </c>
      <c r="H1628" s="2" t="s">
        <v>14</v>
      </c>
      <c r="I1628" s="4">
        <v>42948.681944444441</v>
      </c>
      <c r="J1628" s="2" t="s">
        <v>11490</v>
      </c>
    </row>
    <row r="1629" spans="1:10" ht="150" x14ac:dyDescent="0.25">
      <c r="A1629" s="2" t="s">
        <v>7162</v>
      </c>
      <c r="B1629" s="2">
        <v>27.7</v>
      </c>
      <c r="C1629" s="2" t="s">
        <v>12065</v>
      </c>
      <c r="D1629" s="2" t="s">
        <v>12064</v>
      </c>
      <c r="E1629" s="2" t="s">
        <v>1869</v>
      </c>
      <c r="F1629" s="3">
        <v>41978</v>
      </c>
      <c r="G1629" s="2" t="str">
        <f>"9781442244535"</f>
        <v>9781442244535</v>
      </c>
      <c r="H1629" s="2" t="s">
        <v>14</v>
      </c>
      <c r="I1629" s="4">
        <v>42855.486111111109</v>
      </c>
      <c r="J1629" s="2" t="s">
        <v>12066</v>
      </c>
    </row>
    <row r="1630" spans="1:10" ht="135" x14ac:dyDescent="0.25">
      <c r="A1630" s="2" t="s">
        <v>4766</v>
      </c>
      <c r="B1630" s="2">
        <v>25.2</v>
      </c>
      <c r="C1630" s="2" t="s">
        <v>8535</v>
      </c>
      <c r="D1630" s="2" t="s">
        <v>8534</v>
      </c>
      <c r="E1630" s="2" t="s">
        <v>1869</v>
      </c>
      <c r="F1630" s="3">
        <v>41780</v>
      </c>
      <c r="G1630" s="2" t="str">
        <f>"9781442234987"</f>
        <v>9781442234987</v>
      </c>
      <c r="H1630" s="2" t="s">
        <v>14</v>
      </c>
      <c r="I1630" s="4">
        <v>43293.885416666664</v>
      </c>
      <c r="J1630" s="2" t="s">
        <v>8536</v>
      </c>
    </row>
    <row r="1631" spans="1:10" ht="135" x14ac:dyDescent="0.25">
      <c r="A1631" s="2" t="s">
        <v>4766</v>
      </c>
      <c r="B1631" s="2">
        <v>25.060013072</v>
      </c>
      <c r="C1631" s="2" t="s">
        <v>2543</v>
      </c>
      <c r="D1631" s="2" t="s">
        <v>4765</v>
      </c>
      <c r="E1631" s="2" t="s">
        <v>578</v>
      </c>
      <c r="F1631" s="3">
        <v>43540</v>
      </c>
      <c r="G1631" s="2" t="str">
        <f>"9780252051111"</f>
        <v>9780252051111</v>
      </c>
      <c r="H1631" s="2" t="s">
        <v>14</v>
      </c>
      <c r="I1631" s="4">
        <v>43628.567361111112</v>
      </c>
      <c r="J1631" s="2" t="s">
        <v>4767</v>
      </c>
    </row>
    <row r="1632" spans="1:10" ht="135" x14ac:dyDescent="0.25">
      <c r="A1632" s="2" t="s">
        <v>4766</v>
      </c>
      <c r="B1632" s="2" t="s">
        <v>8126</v>
      </c>
      <c r="C1632" s="2" t="s">
        <v>8127</v>
      </c>
      <c r="D1632" s="2" t="s">
        <v>8124</v>
      </c>
      <c r="E1632" s="2" t="s">
        <v>8125</v>
      </c>
      <c r="F1632" s="3">
        <v>42628</v>
      </c>
      <c r="G1632" s="2" t="str">
        <f>"9780838988473"</f>
        <v>9780838988473</v>
      </c>
      <c r="H1632" s="2" t="s">
        <v>14</v>
      </c>
      <c r="I1632" s="4">
        <v>43350.496527777781</v>
      </c>
      <c r="J1632" s="2" t="s">
        <v>8128</v>
      </c>
    </row>
    <row r="1633" spans="1:10" ht="135" x14ac:dyDescent="0.25">
      <c r="A1633" s="2" t="s">
        <v>4766</v>
      </c>
      <c r="B1633" s="2" t="s">
        <v>8126</v>
      </c>
      <c r="C1633" s="2" t="s">
        <v>8127</v>
      </c>
      <c r="D1633" s="2" t="s">
        <v>9036</v>
      </c>
      <c r="E1633" s="2" t="s">
        <v>8125</v>
      </c>
      <c r="F1633" s="3">
        <v>42628</v>
      </c>
      <c r="G1633" s="2" t="str">
        <f>"9780838988510"</f>
        <v>9780838988510</v>
      </c>
      <c r="H1633" s="2" t="s">
        <v>14</v>
      </c>
      <c r="I1633" s="4">
        <v>43222.678472222222</v>
      </c>
      <c r="J1633" s="2" t="s">
        <v>9037</v>
      </c>
    </row>
    <row r="1634" spans="1:10" ht="135" x14ac:dyDescent="0.25">
      <c r="A1634" s="2" t="s">
        <v>4942</v>
      </c>
      <c r="B1634" s="2">
        <v>25.84</v>
      </c>
      <c r="C1634" s="2" t="s">
        <v>4943</v>
      </c>
      <c r="D1634" s="2" t="s">
        <v>4941</v>
      </c>
      <c r="E1634" s="2" t="s">
        <v>1869</v>
      </c>
      <c r="F1634" s="3">
        <v>41844</v>
      </c>
      <c r="G1634" s="2" t="str">
        <f>"9780810892088"</f>
        <v>9780810892088</v>
      </c>
      <c r="H1634" s="2" t="s">
        <v>14</v>
      </c>
      <c r="I1634" s="4">
        <v>43616.457638888889</v>
      </c>
      <c r="J1634" s="2" t="s">
        <v>4944</v>
      </c>
    </row>
    <row r="1635" spans="1:10" ht="135" x14ac:dyDescent="0.25">
      <c r="A1635" s="2" t="s">
        <v>122</v>
      </c>
      <c r="B1635" s="2">
        <v>809.93384000000003</v>
      </c>
      <c r="C1635" s="2" t="s">
        <v>10357</v>
      </c>
      <c r="D1635" s="2" t="s">
        <v>10356</v>
      </c>
      <c r="E1635" s="2" t="s">
        <v>80</v>
      </c>
      <c r="F1635" s="3">
        <v>41801</v>
      </c>
      <c r="G1635" s="2" t="str">
        <f>"9783653034851"</f>
        <v>9783653034851</v>
      </c>
      <c r="H1635" s="2" t="s">
        <v>14</v>
      </c>
      <c r="I1635" s="4">
        <v>43065.853472222225</v>
      </c>
      <c r="J1635" s="2" t="s">
        <v>10358</v>
      </c>
    </row>
    <row r="1636" spans="1:10" ht="135" x14ac:dyDescent="0.25">
      <c r="A1636" s="2" t="s">
        <v>122</v>
      </c>
      <c r="B1636" s="2" t="s">
        <v>137</v>
      </c>
      <c r="C1636" s="2" t="s">
        <v>6801</v>
      </c>
      <c r="D1636" s="2" t="s">
        <v>6800</v>
      </c>
      <c r="E1636" s="2" t="s">
        <v>164</v>
      </c>
      <c r="F1636" s="3">
        <v>42505</v>
      </c>
      <c r="G1636" s="2" t="str">
        <f>"9780826356710"</f>
        <v>9780826356710</v>
      </c>
      <c r="H1636" s="2" t="s">
        <v>14</v>
      </c>
      <c r="I1636" s="4">
        <v>43485.544444444444</v>
      </c>
      <c r="J1636" s="2" t="s">
        <v>6802</v>
      </c>
    </row>
    <row r="1637" spans="1:10" ht="135" x14ac:dyDescent="0.25">
      <c r="A1637" s="2" t="s">
        <v>122</v>
      </c>
      <c r="B1637" s="2" t="s">
        <v>1820</v>
      </c>
      <c r="C1637" s="2" t="s">
        <v>1821</v>
      </c>
      <c r="D1637" s="2" t="s">
        <v>1819</v>
      </c>
      <c r="E1637" s="2" t="s">
        <v>1129</v>
      </c>
      <c r="F1637" s="3">
        <v>42846</v>
      </c>
      <c r="G1637" s="2" t="str">
        <f>"9781782049500"</f>
        <v>9781782049500</v>
      </c>
      <c r="H1637" s="2" t="s">
        <v>14</v>
      </c>
      <c r="I1637" s="4">
        <v>43925.42083333333</v>
      </c>
      <c r="J1637" s="2" t="s">
        <v>1822</v>
      </c>
    </row>
    <row r="1638" spans="1:10" ht="135" x14ac:dyDescent="0.25">
      <c r="A1638" s="2" t="s">
        <v>122</v>
      </c>
      <c r="B1638" s="2" t="s">
        <v>776</v>
      </c>
      <c r="C1638" s="2" t="s">
        <v>777</v>
      </c>
      <c r="D1638" s="2" t="s">
        <v>774</v>
      </c>
      <c r="E1638" s="2" t="s">
        <v>775</v>
      </c>
      <c r="F1638" s="3">
        <v>34984</v>
      </c>
      <c r="G1638" s="2" t="str">
        <f>"9781459310056"</f>
        <v>9781459310056</v>
      </c>
      <c r="H1638" s="2" t="s">
        <v>14</v>
      </c>
      <c r="I1638" s="4">
        <v>43987.648611111108</v>
      </c>
      <c r="J1638" s="2" t="s">
        <v>778</v>
      </c>
    </row>
    <row r="1639" spans="1:10" ht="135" x14ac:dyDescent="0.25">
      <c r="A1639" s="2" t="s">
        <v>122</v>
      </c>
      <c r="B1639" s="2" t="s">
        <v>9809</v>
      </c>
      <c r="C1639" s="2" t="s">
        <v>9810</v>
      </c>
      <c r="D1639" s="2" t="s">
        <v>9808</v>
      </c>
      <c r="E1639" s="2" t="s">
        <v>164</v>
      </c>
      <c r="F1639" s="3">
        <v>42429</v>
      </c>
      <c r="G1639" s="2" t="str">
        <f>"9780826356390"</f>
        <v>9780826356390</v>
      </c>
      <c r="H1639" s="2" t="s">
        <v>14</v>
      </c>
      <c r="I1639" s="4">
        <v>43128.582638888889</v>
      </c>
      <c r="J1639" s="2" t="s">
        <v>9811</v>
      </c>
    </row>
    <row r="1640" spans="1:10" ht="135" x14ac:dyDescent="0.25">
      <c r="A1640" s="2" t="s">
        <v>122</v>
      </c>
      <c r="B1640" s="2" t="s">
        <v>10071</v>
      </c>
      <c r="C1640" s="2" t="s">
        <v>10072</v>
      </c>
      <c r="D1640" s="2" t="s">
        <v>10070</v>
      </c>
      <c r="E1640" s="2" t="s">
        <v>310</v>
      </c>
      <c r="F1640" s="3">
        <v>40886</v>
      </c>
      <c r="G1640" s="2" t="str">
        <f>"9780815650522"</f>
        <v>9780815650522</v>
      </c>
      <c r="H1640" s="2" t="s">
        <v>14</v>
      </c>
      <c r="I1640" s="4">
        <v>43105.826388888891</v>
      </c>
      <c r="J1640" s="2" t="s">
        <v>10073</v>
      </c>
    </row>
    <row r="1641" spans="1:10" ht="135" x14ac:dyDescent="0.25">
      <c r="A1641" s="2" t="s">
        <v>122</v>
      </c>
      <c r="B1641" s="2">
        <v>841.1</v>
      </c>
      <c r="C1641" s="2" t="s">
        <v>10005</v>
      </c>
      <c r="D1641" s="2" t="s">
        <v>10004</v>
      </c>
      <c r="E1641" s="2" t="s">
        <v>4660</v>
      </c>
      <c r="F1641" s="3">
        <v>41827</v>
      </c>
      <c r="G1641" s="2" t="str">
        <f>"9780813162362"</f>
        <v>9780813162362</v>
      </c>
      <c r="H1641" s="2" t="s">
        <v>14</v>
      </c>
      <c r="I1641" s="4">
        <v>43112.589583333334</v>
      </c>
      <c r="J1641" s="2" t="s">
        <v>10006</v>
      </c>
    </row>
    <row r="1642" spans="1:10" ht="135" x14ac:dyDescent="0.25">
      <c r="A1642" s="2" t="s">
        <v>122</v>
      </c>
      <c r="B1642" s="2">
        <v>813.54</v>
      </c>
      <c r="C1642" s="2" t="s">
        <v>11782</v>
      </c>
      <c r="D1642" s="2" t="s">
        <v>11781</v>
      </c>
      <c r="E1642" s="2" t="s">
        <v>4660</v>
      </c>
      <c r="F1642" s="3">
        <v>42682</v>
      </c>
      <c r="G1642" s="2" t="str">
        <f>"9780813167770"</f>
        <v>9780813167770</v>
      </c>
      <c r="H1642" s="2" t="s">
        <v>14</v>
      </c>
      <c r="I1642" s="4">
        <v>42891.630555555559</v>
      </c>
      <c r="J1642" s="2" t="s">
        <v>11783</v>
      </c>
    </row>
    <row r="1643" spans="1:10" ht="150" x14ac:dyDescent="0.25">
      <c r="A1643" s="2" t="s">
        <v>122</v>
      </c>
      <c r="B1643" s="2" t="s">
        <v>1277</v>
      </c>
      <c r="C1643" s="2" t="s">
        <v>1278</v>
      </c>
      <c r="D1643" s="2" t="s">
        <v>1276</v>
      </c>
      <c r="E1643" s="2" t="s">
        <v>156</v>
      </c>
      <c r="F1643" s="3">
        <v>42492</v>
      </c>
      <c r="G1643" s="2" t="str">
        <f>"9781469627977"</f>
        <v>9781469627977</v>
      </c>
      <c r="H1643" s="2" t="s">
        <v>14</v>
      </c>
      <c r="I1643" s="4">
        <v>43951.627083333333</v>
      </c>
      <c r="J1643" s="2" t="s">
        <v>1279</v>
      </c>
    </row>
    <row r="1644" spans="1:10" ht="135" x14ac:dyDescent="0.25">
      <c r="A1644" s="2" t="s">
        <v>122</v>
      </c>
      <c r="B1644" s="2">
        <v>811.54</v>
      </c>
      <c r="C1644" s="2" t="s">
        <v>6116</v>
      </c>
      <c r="D1644" s="2" t="s">
        <v>6114</v>
      </c>
      <c r="E1644" s="2" t="s">
        <v>6115</v>
      </c>
      <c r="F1644" s="3">
        <v>42164</v>
      </c>
      <c r="G1644" s="2" t="str">
        <f>"9781619025028"</f>
        <v>9781619025028</v>
      </c>
      <c r="H1644" s="2" t="s">
        <v>14</v>
      </c>
      <c r="I1644" s="4">
        <v>43539.435416666667</v>
      </c>
      <c r="J1644" s="2" t="s">
        <v>6117</v>
      </c>
    </row>
    <row r="1645" spans="1:10" ht="135" x14ac:dyDescent="0.25">
      <c r="A1645" s="2" t="s">
        <v>122</v>
      </c>
      <c r="B1645" s="2" t="s">
        <v>1424</v>
      </c>
      <c r="C1645" s="2" t="s">
        <v>123</v>
      </c>
      <c r="D1645" s="2" t="s">
        <v>1423</v>
      </c>
      <c r="E1645" s="2" t="s">
        <v>585</v>
      </c>
      <c r="F1645" s="3">
        <v>37712</v>
      </c>
      <c r="G1645" s="2" t="str">
        <f>"9780226076317"</f>
        <v>9780226076317</v>
      </c>
      <c r="H1645" s="2" t="s">
        <v>14</v>
      </c>
      <c r="I1645" s="4">
        <v>43943.738888888889</v>
      </c>
      <c r="J1645" s="2" t="s">
        <v>1425</v>
      </c>
    </row>
    <row r="1646" spans="1:10" ht="150" x14ac:dyDescent="0.25">
      <c r="A1646" s="2" t="s">
        <v>122</v>
      </c>
      <c r="D1646" s="2" t="s">
        <v>3949</v>
      </c>
      <c r="E1646" s="2" t="s">
        <v>3950</v>
      </c>
      <c r="F1646" s="3">
        <v>42946</v>
      </c>
      <c r="G1646" s="2" t="str">
        <f>"9781869143565"</f>
        <v>9781869143565</v>
      </c>
      <c r="H1646" s="2" t="s">
        <v>14</v>
      </c>
      <c r="I1646" s="4">
        <v>43735.649305555555</v>
      </c>
      <c r="J1646" s="2" t="s">
        <v>3951</v>
      </c>
    </row>
    <row r="1647" spans="1:10" ht="135" x14ac:dyDescent="0.25">
      <c r="A1647" s="2" t="s">
        <v>122</v>
      </c>
      <c r="B1647" s="2">
        <v>891.55100900000002</v>
      </c>
      <c r="C1647" s="2" t="s">
        <v>12972</v>
      </c>
      <c r="D1647" s="2" t="s">
        <v>12971</v>
      </c>
      <c r="E1647" s="2" t="s">
        <v>156</v>
      </c>
      <c r="F1647" s="3">
        <v>33909</v>
      </c>
      <c r="G1647" s="2" t="str">
        <f>"9781469616384"</f>
        <v>9781469616384</v>
      </c>
      <c r="H1647" s="2" t="s">
        <v>14</v>
      </c>
      <c r="I1647" s="4">
        <v>42752.427083333336</v>
      </c>
      <c r="J1647" s="2" t="s">
        <v>12973</v>
      </c>
    </row>
    <row r="1648" spans="1:10" ht="165" x14ac:dyDescent="0.25">
      <c r="A1648" s="2" t="s">
        <v>122</v>
      </c>
      <c r="B1648" s="2" t="s">
        <v>5501</v>
      </c>
      <c r="C1648" s="2" t="s">
        <v>5502</v>
      </c>
      <c r="D1648" s="2" t="s">
        <v>5500</v>
      </c>
      <c r="E1648" s="2" t="s">
        <v>33</v>
      </c>
      <c r="F1648" s="3">
        <v>43284</v>
      </c>
      <c r="G1648" s="2" t="str">
        <f>"9781613766002"</f>
        <v>9781613766002</v>
      </c>
      <c r="H1648" s="2" t="s">
        <v>14</v>
      </c>
      <c r="I1648" s="4">
        <v>43594.45416666667</v>
      </c>
      <c r="J1648" s="2" t="s">
        <v>5503</v>
      </c>
    </row>
    <row r="1649" spans="1:10" ht="135" x14ac:dyDescent="0.25">
      <c r="A1649" s="2" t="s">
        <v>122</v>
      </c>
      <c r="B1649" s="2">
        <v>820.93561</v>
      </c>
      <c r="C1649" s="2" t="s">
        <v>1296</v>
      </c>
      <c r="D1649" s="2" t="s">
        <v>1295</v>
      </c>
      <c r="E1649" s="2" t="s">
        <v>97</v>
      </c>
      <c r="F1649" s="3">
        <v>39262</v>
      </c>
      <c r="G1649" s="2" t="str">
        <f>"9780231511179"</f>
        <v>9780231511179</v>
      </c>
      <c r="H1649" s="2" t="s">
        <v>14</v>
      </c>
      <c r="I1649" s="4">
        <v>43951.399305555555</v>
      </c>
      <c r="J1649" s="2" t="s">
        <v>1297</v>
      </c>
    </row>
    <row r="1650" spans="1:10" ht="135" x14ac:dyDescent="0.25">
      <c r="A1650" s="2" t="s">
        <v>122</v>
      </c>
      <c r="B1650" s="2" t="s">
        <v>4975</v>
      </c>
      <c r="C1650" s="2" t="s">
        <v>4976</v>
      </c>
      <c r="D1650" s="2" t="s">
        <v>4974</v>
      </c>
      <c r="E1650" s="2" t="s">
        <v>130</v>
      </c>
      <c r="F1650" s="3">
        <v>43557</v>
      </c>
      <c r="G1650" s="2" t="str">
        <f>"9780813057071"</f>
        <v>9780813057071</v>
      </c>
      <c r="H1650" s="2" t="s">
        <v>14</v>
      </c>
      <c r="I1650" s="4">
        <v>43614.511111111111</v>
      </c>
      <c r="J1650" s="2" t="s">
        <v>4977</v>
      </c>
    </row>
    <row r="1651" spans="1:10" ht="135" x14ac:dyDescent="0.25">
      <c r="A1651" s="2" t="s">
        <v>122</v>
      </c>
      <c r="B1651" s="2">
        <v>808.1</v>
      </c>
      <c r="C1651" s="2" t="s">
        <v>7075</v>
      </c>
      <c r="D1651" s="2" t="s">
        <v>7074</v>
      </c>
      <c r="E1651" s="2" t="s">
        <v>73</v>
      </c>
      <c r="F1651" s="3">
        <v>41805</v>
      </c>
      <c r="G1651" s="2" t="str">
        <f>"9781937561819"</f>
        <v>9781937561819</v>
      </c>
      <c r="H1651" s="2" t="s">
        <v>14</v>
      </c>
      <c r="I1651" s="4">
        <v>43453.145138888889</v>
      </c>
      <c r="J1651" s="2" t="s">
        <v>7076</v>
      </c>
    </row>
    <row r="1652" spans="1:10" ht="135" x14ac:dyDescent="0.25">
      <c r="A1652" s="2" t="s">
        <v>122</v>
      </c>
      <c r="B1652" s="2" t="s">
        <v>2740</v>
      </c>
      <c r="C1652" s="2" t="s">
        <v>3638</v>
      </c>
      <c r="D1652" s="2" t="s">
        <v>10084</v>
      </c>
      <c r="E1652" s="2" t="s">
        <v>260</v>
      </c>
      <c r="F1652" s="3">
        <v>42489</v>
      </c>
      <c r="G1652" s="2" t="str">
        <f>"9781439913383"</f>
        <v>9781439913383</v>
      </c>
      <c r="H1652" s="2" t="s">
        <v>14</v>
      </c>
      <c r="I1652" s="4">
        <v>43104.791666666664</v>
      </c>
      <c r="J1652" s="2" t="s">
        <v>10085</v>
      </c>
    </row>
    <row r="1653" spans="1:10" ht="135" x14ac:dyDescent="0.25">
      <c r="A1653" s="2" t="s">
        <v>122</v>
      </c>
      <c r="B1653" s="2">
        <v>810.99287089960706</v>
      </c>
      <c r="C1653" s="2" t="s">
        <v>9546</v>
      </c>
      <c r="D1653" s="2" t="s">
        <v>9545</v>
      </c>
      <c r="E1653" s="2" t="s">
        <v>130</v>
      </c>
      <c r="F1653" s="3">
        <v>41793</v>
      </c>
      <c r="G1653" s="2" t="str">
        <f>"9780813048871"</f>
        <v>9780813048871</v>
      </c>
      <c r="H1653" s="2" t="s">
        <v>14</v>
      </c>
      <c r="I1653" s="4">
        <v>43156.776388888888</v>
      </c>
      <c r="J1653" s="2" t="s">
        <v>9547</v>
      </c>
    </row>
    <row r="1654" spans="1:10" ht="135" x14ac:dyDescent="0.25">
      <c r="A1654" s="2" t="s">
        <v>122</v>
      </c>
      <c r="B1654" s="2">
        <v>820.99599999999998</v>
      </c>
      <c r="C1654" s="2" t="s">
        <v>2795</v>
      </c>
      <c r="D1654" s="2" t="s">
        <v>2794</v>
      </c>
      <c r="E1654" s="2" t="s">
        <v>69</v>
      </c>
      <c r="F1654" s="3">
        <v>43024</v>
      </c>
      <c r="G1654" s="2" t="str">
        <f>"9780253029324"</f>
        <v>9780253029324</v>
      </c>
      <c r="H1654" s="2" t="s">
        <v>14</v>
      </c>
      <c r="I1654" s="4">
        <v>43853.696527777778</v>
      </c>
      <c r="J1654" s="2" t="s">
        <v>2796</v>
      </c>
    </row>
    <row r="1655" spans="1:10" ht="135" x14ac:dyDescent="0.25">
      <c r="A1655" s="2" t="s">
        <v>122</v>
      </c>
      <c r="B1655" s="2" t="s">
        <v>492</v>
      </c>
      <c r="C1655" s="2" t="s">
        <v>493</v>
      </c>
      <c r="D1655" s="2" t="s">
        <v>491</v>
      </c>
      <c r="E1655" s="2" t="s">
        <v>136</v>
      </c>
      <c r="F1655" s="3">
        <v>42739</v>
      </c>
      <c r="G1655" s="2" t="str">
        <f>"9781609384401"</f>
        <v>9781609384401</v>
      </c>
      <c r="H1655" s="2" t="s">
        <v>14</v>
      </c>
      <c r="I1655" s="4">
        <v>44019.434027777781</v>
      </c>
      <c r="J1655" s="2" t="s">
        <v>494</v>
      </c>
    </row>
    <row r="1656" spans="1:10" ht="135" x14ac:dyDescent="0.25">
      <c r="A1656" s="2" t="s">
        <v>122</v>
      </c>
      <c r="B1656" s="2">
        <v>822.33</v>
      </c>
      <c r="C1656" s="2" t="s">
        <v>4872</v>
      </c>
      <c r="D1656" s="2" t="s">
        <v>4871</v>
      </c>
      <c r="E1656" s="2" t="s">
        <v>50</v>
      </c>
      <c r="F1656" s="3">
        <v>43617</v>
      </c>
      <c r="G1656" s="2" t="str">
        <f>"9781496214539"</f>
        <v>9781496214539</v>
      </c>
      <c r="H1656" s="2" t="s">
        <v>14</v>
      </c>
      <c r="I1656" s="4">
        <v>43619.643750000003</v>
      </c>
      <c r="J1656" s="2" t="s">
        <v>4873</v>
      </c>
    </row>
    <row r="1657" spans="1:10" ht="135" x14ac:dyDescent="0.25">
      <c r="A1657" s="2" t="s">
        <v>122</v>
      </c>
      <c r="B1657" s="2">
        <v>813.54</v>
      </c>
      <c r="C1657" s="2" t="s">
        <v>7243</v>
      </c>
      <c r="D1657" s="2" t="s">
        <v>7242</v>
      </c>
      <c r="E1657" s="2" t="s">
        <v>288</v>
      </c>
      <c r="F1657" s="3">
        <v>42794</v>
      </c>
      <c r="G1657" s="2" t="str">
        <f>"9780776624358"</f>
        <v>9780776624358</v>
      </c>
      <c r="H1657" s="2" t="s">
        <v>14</v>
      </c>
      <c r="I1657" s="4">
        <v>43431.538888888892</v>
      </c>
      <c r="J1657" s="2" t="s">
        <v>7244</v>
      </c>
    </row>
    <row r="1658" spans="1:10" ht="135" x14ac:dyDescent="0.25">
      <c r="A1658" s="2" t="s">
        <v>122</v>
      </c>
      <c r="B1658" s="2">
        <v>828.80899999999997</v>
      </c>
      <c r="C1658" s="2" t="s">
        <v>11250</v>
      </c>
      <c r="D1658" s="2" t="s">
        <v>11249</v>
      </c>
      <c r="E1658" s="2" t="s">
        <v>11</v>
      </c>
      <c r="F1658" s="3">
        <v>42614</v>
      </c>
      <c r="G1658" s="2" t="str">
        <f>"9780813228938"</f>
        <v>9780813228938</v>
      </c>
      <c r="H1658" s="2" t="s">
        <v>14</v>
      </c>
      <c r="I1658" s="4">
        <v>42998.599305555559</v>
      </c>
      <c r="J1658" s="2" t="s">
        <v>11251</v>
      </c>
    </row>
    <row r="1659" spans="1:10" ht="135" x14ac:dyDescent="0.25">
      <c r="A1659" s="2" t="s">
        <v>122</v>
      </c>
      <c r="B1659" s="2" t="s">
        <v>10533</v>
      </c>
      <c r="C1659" s="2" t="s">
        <v>10534</v>
      </c>
      <c r="D1659" s="2" t="s">
        <v>10531</v>
      </c>
      <c r="E1659" s="2" t="s">
        <v>10532</v>
      </c>
      <c r="F1659" s="3">
        <v>37706</v>
      </c>
      <c r="G1659" s="2" t="str">
        <f>"9780520936430"</f>
        <v>9780520936430</v>
      </c>
      <c r="H1659" s="2" t="s">
        <v>14</v>
      </c>
      <c r="I1659" s="4">
        <v>43050.490277777775</v>
      </c>
      <c r="J1659" s="2" t="s">
        <v>10535</v>
      </c>
    </row>
    <row r="1660" spans="1:10" ht="135" x14ac:dyDescent="0.25">
      <c r="A1660" s="2" t="s">
        <v>122</v>
      </c>
      <c r="B1660" s="2">
        <v>840.91499999999996</v>
      </c>
      <c r="C1660" s="2" t="s">
        <v>5479</v>
      </c>
      <c r="D1660" s="2" t="s">
        <v>5478</v>
      </c>
      <c r="E1660" s="2" t="s">
        <v>846</v>
      </c>
      <c r="F1660" s="3">
        <v>40139</v>
      </c>
      <c r="G1660" s="2" t="str">
        <f>"9781442690066"</f>
        <v>9781442690066</v>
      </c>
      <c r="H1660" s="2" t="s">
        <v>14</v>
      </c>
      <c r="I1660" s="4">
        <v>43595.35833333333</v>
      </c>
      <c r="J1660" s="2" t="s">
        <v>5480</v>
      </c>
    </row>
    <row r="1661" spans="1:10" ht="135" x14ac:dyDescent="0.25">
      <c r="A1661" s="2" t="s">
        <v>122</v>
      </c>
      <c r="B1661" s="2">
        <v>823.8</v>
      </c>
      <c r="C1661" s="2" t="s">
        <v>12727</v>
      </c>
      <c r="D1661" s="2" t="s">
        <v>12726</v>
      </c>
      <c r="E1661" s="2" t="s">
        <v>4660</v>
      </c>
      <c r="F1661" s="3">
        <v>35674</v>
      </c>
      <c r="G1661" s="2" t="str">
        <f>"9780813148267"</f>
        <v>9780813148267</v>
      </c>
      <c r="H1661" s="2" t="s">
        <v>14</v>
      </c>
      <c r="I1661" s="4">
        <v>42779.780555555553</v>
      </c>
      <c r="J1661" s="2" t="s">
        <v>12728</v>
      </c>
    </row>
    <row r="1662" spans="1:10" ht="135" x14ac:dyDescent="0.25">
      <c r="A1662" s="2" t="s">
        <v>122</v>
      </c>
      <c r="B1662" s="2">
        <v>822.33</v>
      </c>
      <c r="C1662" s="2" t="s">
        <v>209</v>
      </c>
      <c r="D1662" s="2" t="s">
        <v>207</v>
      </c>
      <c r="E1662" s="2" t="s">
        <v>208</v>
      </c>
      <c r="F1662" s="3">
        <v>43241</v>
      </c>
      <c r="G1662" s="2" t="str">
        <f>"9781743325490"</f>
        <v>9781743325490</v>
      </c>
      <c r="H1662" s="2" t="s">
        <v>14</v>
      </c>
      <c r="I1662" s="4">
        <v>44059.515972222223</v>
      </c>
      <c r="J1662" s="2" t="s">
        <v>210</v>
      </c>
    </row>
    <row r="1663" spans="1:10" ht="135" x14ac:dyDescent="0.25">
      <c r="A1663" s="2" t="s">
        <v>122</v>
      </c>
      <c r="B1663" s="2" t="s">
        <v>6443</v>
      </c>
      <c r="C1663" s="2" t="s">
        <v>6444</v>
      </c>
      <c r="D1663" s="2" t="s">
        <v>6442</v>
      </c>
      <c r="E1663" s="2" t="s">
        <v>130</v>
      </c>
      <c r="F1663" s="3">
        <v>43347</v>
      </c>
      <c r="G1663" s="2" t="str">
        <f>"9780813052403"</f>
        <v>9780813052403</v>
      </c>
      <c r="H1663" s="2" t="s">
        <v>14</v>
      </c>
      <c r="I1663" s="4">
        <v>43517.714583333334</v>
      </c>
      <c r="J1663" s="2" t="s">
        <v>6445</v>
      </c>
    </row>
    <row r="1664" spans="1:10" ht="135" x14ac:dyDescent="0.25">
      <c r="A1664" s="2" t="s">
        <v>122</v>
      </c>
      <c r="B1664" s="2" t="s">
        <v>2343</v>
      </c>
      <c r="C1664" s="2" t="s">
        <v>2344</v>
      </c>
      <c r="D1664" s="2" t="s">
        <v>2342</v>
      </c>
      <c r="E1664" s="2" t="s">
        <v>109</v>
      </c>
      <c r="F1664" s="3">
        <v>39272</v>
      </c>
      <c r="G1664" s="2" t="str">
        <f>"9780819578310"</f>
        <v>9780819578310</v>
      </c>
      <c r="H1664" s="2" t="s">
        <v>14</v>
      </c>
      <c r="I1664" s="4">
        <v>43892.488888888889</v>
      </c>
      <c r="J1664" s="2" t="s">
        <v>2345</v>
      </c>
    </row>
    <row r="1665" spans="1:10" ht="135" x14ac:dyDescent="0.25">
      <c r="A1665" s="2" t="s">
        <v>122</v>
      </c>
      <c r="B1665" s="2" t="s">
        <v>2715</v>
      </c>
      <c r="C1665" s="2" t="s">
        <v>2634</v>
      </c>
      <c r="D1665" s="2" t="s">
        <v>10572</v>
      </c>
      <c r="E1665" s="2" t="s">
        <v>54</v>
      </c>
      <c r="F1665" s="3">
        <v>42165</v>
      </c>
      <c r="G1665" s="2" t="str">
        <f>"9780804794510"</f>
        <v>9780804794510</v>
      </c>
      <c r="H1665" s="2" t="s">
        <v>14</v>
      </c>
      <c r="I1665" s="4">
        <v>43049.443749999999</v>
      </c>
      <c r="J1665" s="2" t="s">
        <v>10573</v>
      </c>
    </row>
    <row r="1666" spans="1:10" ht="135" x14ac:dyDescent="0.25">
      <c r="A1666" s="2" t="s">
        <v>122</v>
      </c>
      <c r="B1666" s="2">
        <v>843.91093561000002</v>
      </c>
      <c r="C1666" s="2" t="s">
        <v>2213</v>
      </c>
      <c r="D1666" s="2" t="s">
        <v>2212</v>
      </c>
      <c r="E1666" s="2" t="s">
        <v>101</v>
      </c>
      <c r="F1666" s="3">
        <v>43174</v>
      </c>
      <c r="G1666" s="2" t="str">
        <f>"9780810136816"</f>
        <v>9780810136816</v>
      </c>
      <c r="H1666" s="2" t="s">
        <v>14</v>
      </c>
      <c r="I1666" s="4">
        <v>43900.709722222222</v>
      </c>
      <c r="J1666" s="2" t="s">
        <v>2214</v>
      </c>
    </row>
    <row r="1667" spans="1:10" ht="135" x14ac:dyDescent="0.25">
      <c r="A1667" s="2" t="s">
        <v>122</v>
      </c>
      <c r="B1667" s="2" t="s">
        <v>5730</v>
      </c>
      <c r="C1667" s="2" t="s">
        <v>5731</v>
      </c>
      <c r="D1667" s="2" t="s">
        <v>5729</v>
      </c>
      <c r="E1667" s="2" t="s">
        <v>705</v>
      </c>
      <c r="F1667" s="3">
        <v>42542</v>
      </c>
      <c r="G1667" s="2" t="str">
        <f>"9781400880447"</f>
        <v>9781400880447</v>
      </c>
      <c r="H1667" s="2" t="s">
        <v>14</v>
      </c>
      <c r="I1667" s="4">
        <v>43577.586805555555</v>
      </c>
      <c r="J1667" s="2" t="s">
        <v>5732</v>
      </c>
    </row>
    <row r="1668" spans="1:10" ht="135" x14ac:dyDescent="0.25">
      <c r="A1668" s="2" t="s">
        <v>122</v>
      </c>
      <c r="B1668" s="2" t="s">
        <v>10646</v>
      </c>
      <c r="C1668" s="2" t="s">
        <v>10647</v>
      </c>
      <c r="D1668" s="2" t="s">
        <v>10645</v>
      </c>
      <c r="E1668" s="2" t="s">
        <v>11</v>
      </c>
      <c r="F1668" s="3">
        <v>37956</v>
      </c>
      <c r="G1668" s="2" t="str">
        <f>"9780813216348"</f>
        <v>9780813216348</v>
      </c>
      <c r="H1668" s="2" t="s">
        <v>14</v>
      </c>
      <c r="I1668" s="4">
        <v>43044.820833333331</v>
      </c>
      <c r="J1668" s="2" t="s">
        <v>10648</v>
      </c>
    </row>
    <row r="1669" spans="1:10" ht="165" x14ac:dyDescent="0.25">
      <c r="A1669" s="2" t="s">
        <v>122</v>
      </c>
      <c r="B1669" s="2">
        <v>830.93550000000005</v>
      </c>
      <c r="C1669" s="2" t="s">
        <v>5723</v>
      </c>
      <c r="D1669" s="2" t="s">
        <v>5722</v>
      </c>
      <c r="E1669" s="2" t="s">
        <v>80</v>
      </c>
      <c r="F1669" s="3">
        <v>42002</v>
      </c>
      <c r="G1669" s="2" t="str">
        <f>"9783653039818"</f>
        <v>9783653039818</v>
      </c>
      <c r="H1669" s="2" t="s">
        <v>14</v>
      </c>
      <c r="I1669" s="4">
        <v>43577.943055555559</v>
      </c>
      <c r="J1669" s="2" t="s">
        <v>5724</v>
      </c>
    </row>
    <row r="1670" spans="1:10" ht="135" x14ac:dyDescent="0.25">
      <c r="A1670" s="2" t="s">
        <v>122</v>
      </c>
      <c r="B1670" s="2" t="s">
        <v>3925</v>
      </c>
      <c r="C1670" s="2" t="s">
        <v>3926</v>
      </c>
      <c r="D1670" s="2" t="s">
        <v>3923</v>
      </c>
      <c r="E1670" s="2" t="s">
        <v>3924</v>
      </c>
      <c r="F1670" s="3">
        <v>43255</v>
      </c>
      <c r="G1670" s="2" t="str">
        <f>"9781772124057"</f>
        <v>9781772124057</v>
      </c>
      <c r="H1670" s="2" t="s">
        <v>14</v>
      </c>
      <c r="I1670" s="4">
        <v>43737.757638888892</v>
      </c>
      <c r="J1670" s="2" t="s">
        <v>3927</v>
      </c>
    </row>
    <row r="1671" spans="1:10" ht="135" x14ac:dyDescent="0.25">
      <c r="A1671" s="2" t="s">
        <v>122</v>
      </c>
      <c r="B1671" s="2" t="s">
        <v>8421</v>
      </c>
      <c r="C1671" s="2" t="s">
        <v>8422</v>
      </c>
      <c r="D1671" s="2" t="s">
        <v>8420</v>
      </c>
      <c r="E1671" s="2" t="s">
        <v>585</v>
      </c>
      <c r="F1671" s="3">
        <v>42790</v>
      </c>
      <c r="G1671" s="2" t="str">
        <f>"9780226436876"</f>
        <v>9780226436876</v>
      </c>
      <c r="H1671" s="2" t="s">
        <v>14</v>
      </c>
      <c r="I1671" s="4">
        <v>43311.538194444445</v>
      </c>
      <c r="J1671" s="2" t="s">
        <v>8423</v>
      </c>
    </row>
    <row r="1672" spans="1:10" ht="135" x14ac:dyDescent="0.25">
      <c r="A1672" s="2" t="s">
        <v>122</v>
      </c>
      <c r="B1672" s="2" t="s">
        <v>2715</v>
      </c>
      <c r="C1672" s="2" t="s">
        <v>2716</v>
      </c>
      <c r="D1672" s="2" t="s">
        <v>2714</v>
      </c>
      <c r="E1672" s="2" t="s">
        <v>216</v>
      </c>
      <c r="F1672" s="3">
        <v>43556</v>
      </c>
      <c r="G1672" s="2" t="str">
        <f>"9781438473413"</f>
        <v>9781438473413</v>
      </c>
      <c r="H1672" s="2" t="s">
        <v>14</v>
      </c>
      <c r="I1672" s="4">
        <v>43862.776388888888</v>
      </c>
      <c r="J1672" s="2" t="s">
        <v>2717</v>
      </c>
    </row>
    <row r="1673" spans="1:10" ht="135" x14ac:dyDescent="0.25">
      <c r="A1673" s="2" t="s">
        <v>122</v>
      </c>
      <c r="B1673" s="2">
        <v>808.1</v>
      </c>
      <c r="C1673" s="2" t="s">
        <v>6299</v>
      </c>
      <c r="D1673" s="2" t="s">
        <v>6298</v>
      </c>
      <c r="E1673" s="2" t="s">
        <v>73</v>
      </c>
      <c r="F1673" s="3">
        <v>43515</v>
      </c>
      <c r="G1673" s="2" t="str">
        <f>"9781452959528"</f>
        <v>9781452959528</v>
      </c>
      <c r="H1673" s="2" t="s">
        <v>14</v>
      </c>
      <c r="I1673" s="4">
        <v>43525.864583333336</v>
      </c>
      <c r="J1673" s="2" t="s">
        <v>6300</v>
      </c>
    </row>
    <row r="1674" spans="1:10" ht="150" x14ac:dyDescent="0.25">
      <c r="A1674" s="2" t="s">
        <v>122</v>
      </c>
      <c r="B1674" s="2" t="s">
        <v>8922</v>
      </c>
      <c r="C1674" s="2" t="s">
        <v>8923</v>
      </c>
      <c r="D1674" s="2" t="s">
        <v>8921</v>
      </c>
      <c r="E1674" s="2" t="s">
        <v>397</v>
      </c>
      <c r="F1674" s="3">
        <v>42874</v>
      </c>
      <c r="G1674" s="2" t="str">
        <f>"9780822982432"</f>
        <v>9780822982432</v>
      </c>
      <c r="H1674" s="2" t="s">
        <v>14</v>
      </c>
      <c r="I1674" s="4">
        <v>43238.81527777778</v>
      </c>
      <c r="J1674" s="2" t="s">
        <v>8924</v>
      </c>
    </row>
    <row r="1675" spans="1:10" ht="135" x14ac:dyDescent="0.25">
      <c r="A1675" s="2" t="s">
        <v>122</v>
      </c>
      <c r="B1675" s="2">
        <v>811</v>
      </c>
      <c r="C1675" s="2" t="s">
        <v>6729</v>
      </c>
      <c r="D1675" s="2" t="s">
        <v>6728</v>
      </c>
      <c r="E1675" s="2" t="s">
        <v>3950</v>
      </c>
      <c r="F1675" s="3">
        <v>42231</v>
      </c>
      <c r="G1675" s="2" t="str">
        <f>"9781869143411"</f>
        <v>9781869143411</v>
      </c>
      <c r="H1675" s="2" t="s">
        <v>14</v>
      </c>
      <c r="I1675" s="4">
        <v>43491.481249999997</v>
      </c>
      <c r="J1675" s="2" t="s">
        <v>6730</v>
      </c>
    </row>
    <row r="1676" spans="1:10" ht="135" x14ac:dyDescent="0.25">
      <c r="A1676" s="2" t="s">
        <v>122</v>
      </c>
      <c r="B1676" s="2" t="s">
        <v>11355</v>
      </c>
      <c r="C1676" s="2" t="s">
        <v>11356</v>
      </c>
      <c r="D1676" s="2" t="s">
        <v>11354</v>
      </c>
      <c r="E1676" s="2" t="s">
        <v>310</v>
      </c>
      <c r="F1676" s="3">
        <v>42340</v>
      </c>
      <c r="G1676" s="2" t="str">
        <f>"9780815653295"</f>
        <v>9780815653295</v>
      </c>
      <c r="H1676" s="2" t="s">
        <v>14</v>
      </c>
      <c r="I1676" s="4">
        <v>42984.530555555553</v>
      </c>
      <c r="J1676" s="2" t="s">
        <v>11357</v>
      </c>
    </row>
    <row r="1677" spans="1:10" ht="135" x14ac:dyDescent="0.25">
      <c r="A1677" s="2" t="s">
        <v>122</v>
      </c>
      <c r="B1677" s="2" t="s">
        <v>4021</v>
      </c>
      <c r="C1677" s="2" t="s">
        <v>4022</v>
      </c>
      <c r="D1677" s="2" t="s">
        <v>4020</v>
      </c>
      <c r="E1677" s="2" t="s">
        <v>322</v>
      </c>
      <c r="F1677" s="3">
        <v>42019</v>
      </c>
      <c r="G1677" s="2" t="str">
        <f>"9780820347738"</f>
        <v>9780820347738</v>
      </c>
      <c r="H1677" s="2" t="s">
        <v>14</v>
      </c>
      <c r="I1677" s="4">
        <v>43725.440972222219</v>
      </c>
      <c r="J1677" s="2" t="s">
        <v>4023</v>
      </c>
    </row>
    <row r="1678" spans="1:10" ht="135" x14ac:dyDescent="0.25">
      <c r="A1678" s="2" t="s">
        <v>122</v>
      </c>
      <c r="B1678" s="2">
        <v>801.95082000000002</v>
      </c>
      <c r="C1678" s="2" t="s">
        <v>7358</v>
      </c>
      <c r="D1678" s="2" t="s">
        <v>7357</v>
      </c>
      <c r="E1678" s="2" t="s">
        <v>397</v>
      </c>
      <c r="F1678" s="3">
        <v>42958</v>
      </c>
      <c r="G1678" s="2" t="str">
        <f>"9780822982845"</f>
        <v>9780822982845</v>
      </c>
      <c r="H1678" s="2" t="s">
        <v>14</v>
      </c>
      <c r="I1678" s="4">
        <v>43423.881249999999</v>
      </c>
      <c r="J1678" s="2" t="s">
        <v>7359</v>
      </c>
    </row>
    <row r="1679" spans="1:10" ht="135" x14ac:dyDescent="0.25">
      <c r="A1679" s="2" t="s">
        <v>122</v>
      </c>
      <c r="B1679" s="2" t="s">
        <v>12812</v>
      </c>
      <c r="C1679" s="2" t="s">
        <v>12813</v>
      </c>
      <c r="D1679" s="2" t="s">
        <v>12811</v>
      </c>
      <c r="E1679" s="2" t="s">
        <v>310</v>
      </c>
      <c r="F1679" s="3">
        <v>41981</v>
      </c>
      <c r="G1679" s="2" t="str">
        <f>"9780815652861"</f>
        <v>9780815652861</v>
      </c>
      <c r="H1679" s="2" t="s">
        <v>14</v>
      </c>
      <c r="I1679" s="4">
        <v>42772.499305555553</v>
      </c>
      <c r="J1679" s="2" t="s">
        <v>12814</v>
      </c>
    </row>
    <row r="1680" spans="1:10" ht="135" x14ac:dyDescent="0.25">
      <c r="A1680" s="2" t="s">
        <v>122</v>
      </c>
      <c r="B1680" s="2" t="s">
        <v>2606</v>
      </c>
      <c r="C1680" s="2" t="s">
        <v>2607</v>
      </c>
      <c r="D1680" s="2" t="s">
        <v>2605</v>
      </c>
      <c r="E1680" s="2" t="s">
        <v>216</v>
      </c>
      <c r="F1680" s="3">
        <v>43525</v>
      </c>
      <c r="G1680" s="2" t="str">
        <f>"9781438473055"</f>
        <v>9781438473055</v>
      </c>
      <c r="H1680" s="2" t="s">
        <v>14</v>
      </c>
      <c r="I1680" s="4">
        <v>43873.380555555559</v>
      </c>
      <c r="J1680" s="2" t="s">
        <v>2608</v>
      </c>
    </row>
    <row r="1681" spans="1:10" ht="135" x14ac:dyDescent="0.25">
      <c r="A1681" s="2" t="s">
        <v>122</v>
      </c>
      <c r="B1681" s="2">
        <v>829</v>
      </c>
      <c r="C1681" s="2" t="s">
        <v>11027</v>
      </c>
      <c r="D1681" s="2" t="s">
        <v>11026</v>
      </c>
      <c r="E1681" s="2" t="s">
        <v>80</v>
      </c>
      <c r="F1681" s="3">
        <v>41891</v>
      </c>
      <c r="G1681" s="2" t="str">
        <f>"9783653048001"</f>
        <v>9783653048001</v>
      </c>
      <c r="H1681" s="2" t="s">
        <v>14</v>
      </c>
      <c r="I1681" s="4">
        <v>43021.981944444444</v>
      </c>
      <c r="J1681" s="2" t="s">
        <v>11028</v>
      </c>
    </row>
    <row r="1682" spans="1:10" ht="135" x14ac:dyDescent="0.25">
      <c r="A1682" s="2" t="s">
        <v>122</v>
      </c>
      <c r="B1682" s="2" t="s">
        <v>1326</v>
      </c>
      <c r="C1682" s="2" t="s">
        <v>1327</v>
      </c>
      <c r="D1682" s="2" t="s">
        <v>1325</v>
      </c>
      <c r="E1682" s="2" t="s">
        <v>101</v>
      </c>
      <c r="F1682" s="3">
        <v>43753</v>
      </c>
      <c r="G1682" s="2" t="str">
        <f>"9780810140769"</f>
        <v>9780810140769</v>
      </c>
      <c r="H1682" s="2" t="s">
        <v>14</v>
      </c>
      <c r="I1682" s="4">
        <v>43949.087500000001</v>
      </c>
      <c r="J1682" s="2" t="s">
        <v>1328</v>
      </c>
    </row>
    <row r="1683" spans="1:10" ht="135" x14ac:dyDescent="0.25">
      <c r="A1683" s="2" t="s">
        <v>122</v>
      </c>
      <c r="B1683" s="2">
        <v>820.93550000000005</v>
      </c>
      <c r="C1683" s="2" t="s">
        <v>3435</v>
      </c>
      <c r="D1683" s="2" t="s">
        <v>3434</v>
      </c>
      <c r="E1683" s="2" t="s">
        <v>705</v>
      </c>
      <c r="F1683" s="3">
        <v>42787</v>
      </c>
      <c r="G1683" s="2" t="str">
        <f>"9781400884773"</f>
        <v>9781400884773</v>
      </c>
      <c r="H1683" s="2" t="s">
        <v>14</v>
      </c>
      <c r="I1683" s="4">
        <v>43782.84652777778</v>
      </c>
      <c r="J1683" s="2" t="s">
        <v>3436</v>
      </c>
    </row>
    <row r="1684" spans="1:10" ht="135" x14ac:dyDescent="0.25">
      <c r="A1684" s="2" t="s">
        <v>122</v>
      </c>
      <c r="B1684" s="2" t="s">
        <v>11717</v>
      </c>
      <c r="C1684" s="2" t="s">
        <v>11718</v>
      </c>
      <c r="D1684" s="2" t="s">
        <v>11716</v>
      </c>
      <c r="E1684" s="2" t="s">
        <v>4660</v>
      </c>
      <c r="F1684" s="3">
        <v>35859</v>
      </c>
      <c r="G1684" s="2" t="str">
        <f>"9780813158587"</f>
        <v>9780813158587</v>
      </c>
      <c r="H1684" s="2" t="s">
        <v>14</v>
      </c>
      <c r="I1684" s="4">
        <v>42908.686805555553</v>
      </c>
      <c r="J1684" s="2" t="s">
        <v>11719</v>
      </c>
    </row>
    <row r="1685" spans="1:10" ht="135" x14ac:dyDescent="0.25">
      <c r="A1685" s="2" t="s">
        <v>122</v>
      </c>
      <c r="B1685" s="2">
        <v>823.08209092000004</v>
      </c>
      <c r="C1685" s="2" t="s">
        <v>619</v>
      </c>
      <c r="D1685" s="2" t="s">
        <v>1146</v>
      </c>
      <c r="E1685" s="2" t="s">
        <v>37</v>
      </c>
      <c r="F1685" s="3">
        <v>43266</v>
      </c>
      <c r="G1685" s="2" t="str">
        <f>"9783319899022"</f>
        <v>9783319899022</v>
      </c>
      <c r="H1685" s="2" t="s">
        <v>14</v>
      </c>
      <c r="I1685" s="4">
        <v>43959.706944444442</v>
      </c>
      <c r="J1685" s="2" t="s">
        <v>1147</v>
      </c>
    </row>
    <row r="1686" spans="1:10" ht="135" x14ac:dyDescent="0.25">
      <c r="A1686" s="2" t="s">
        <v>122</v>
      </c>
      <c r="B1686" s="2" t="s">
        <v>8942</v>
      </c>
      <c r="C1686" s="2" t="s">
        <v>8943</v>
      </c>
      <c r="D1686" s="2" t="s">
        <v>8941</v>
      </c>
      <c r="E1686" s="2" t="s">
        <v>216</v>
      </c>
      <c r="F1686" s="3">
        <v>42826</v>
      </c>
      <c r="G1686" s="2" t="str">
        <f>"9781438465692"</f>
        <v>9781438465692</v>
      </c>
      <c r="H1686" s="2" t="s">
        <v>14</v>
      </c>
      <c r="I1686" s="4">
        <v>43237.564583333333</v>
      </c>
      <c r="J1686" s="2" t="s">
        <v>8944</v>
      </c>
    </row>
    <row r="1687" spans="1:10" ht="150" x14ac:dyDescent="0.25">
      <c r="A1687" s="2" t="s">
        <v>122</v>
      </c>
      <c r="B1687" s="2" t="s">
        <v>8956</v>
      </c>
      <c r="C1687" s="2" t="s">
        <v>8957</v>
      </c>
      <c r="D1687" s="2" t="s">
        <v>8955</v>
      </c>
      <c r="E1687" s="2" t="s">
        <v>54</v>
      </c>
      <c r="F1687" s="3">
        <v>40127</v>
      </c>
      <c r="G1687" s="2" t="str">
        <f>"9780804772952"</f>
        <v>9780804772952</v>
      </c>
      <c r="H1687" s="2" t="s">
        <v>14</v>
      </c>
      <c r="I1687" s="4">
        <v>43234.40625</v>
      </c>
      <c r="J1687" s="2" t="s">
        <v>8958</v>
      </c>
    </row>
    <row r="1688" spans="1:10" ht="150" x14ac:dyDescent="0.25">
      <c r="A1688" s="2" t="s">
        <v>122</v>
      </c>
      <c r="B1688" s="2">
        <v>810.9</v>
      </c>
      <c r="C1688" s="2" t="s">
        <v>6673</v>
      </c>
      <c r="D1688" s="2" t="s">
        <v>6672</v>
      </c>
      <c r="E1688" s="2" t="s">
        <v>46</v>
      </c>
      <c r="F1688" s="3">
        <v>41944</v>
      </c>
      <c r="G1688" s="2" t="str">
        <f>"9780803265325"</f>
        <v>9780803265325</v>
      </c>
      <c r="H1688" s="2" t="s">
        <v>14</v>
      </c>
      <c r="I1688" s="4">
        <v>43497.70416666667</v>
      </c>
      <c r="J1688" s="2" t="s">
        <v>6674</v>
      </c>
    </row>
    <row r="1689" spans="1:10" ht="135" x14ac:dyDescent="0.25">
      <c r="A1689" s="2" t="s">
        <v>122</v>
      </c>
      <c r="B1689" s="2" t="s">
        <v>4449</v>
      </c>
      <c r="C1689" s="2" t="s">
        <v>4450</v>
      </c>
      <c r="D1689" s="2" t="s">
        <v>4448</v>
      </c>
      <c r="E1689" s="2" t="s">
        <v>846</v>
      </c>
      <c r="F1689" s="3">
        <v>41941</v>
      </c>
      <c r="G1689" s="2" t="str">
        <f>"9781442619173"</f>
        <v>9781442619173</v>
      </c>
      <c r="H1689" s="2" t="s">
        <v>14</v>
      </c>
      <c r="I1689" s="4">
        <v>43668.404166666667</v>
      </c>
      <c r="J1689" s="2" t="s">
        <v>4451</v>
      </c>
    </row>
    <row r="1690" spans="1:10" ht="135" x14ac:dyDescent="0.25">
      <c r="A1690" s="2" t="s">
        <v>122</v>
      </c>
      <c r="B1690" s="2">
        <v>808.89895999999999</v>
      </c>
      <c r="C1690" s="2" t="s">
        <v>2653</v>
      </c>
      <c r="D1690" s="2" t="s">
        <v>2652</v>
      </c>
      <c r="E1690" s="2" t="s">
        <v>212</v>
      </c>
      <c r="F1690" s="3">
        <v>42821</v>
      </c>
      <c r="G1690" s="2" t="str">
        <f>"9789956764464"</f>
        <v>9789956764464</v>
      </c>
      <c r="H1690" s="2" t="s">
        <v>14</v>
      </c>
      <c r="I1690" s="4">
        <v>43869.856944444444</v>
      </c>
      <c r="J1690" s="2" t="s">
        <v>2654</v>
      </c>
    </row>
    <row r="1691" spans="1:10" ht="135" x14ac:dyDescent="0.25">
      <c r="A1691" s="2" t="s">
        <v>122</v>
      </c>
      <c r="B1691" s="2" t="s">
        <v>8282</v>
      </c>
      <c r="C1691" s="2" t="s">
        <v>8283</v>
      </c>
      <c r="D1691" s="2" t="s">
        <v>8281</v>
      </c>
      <c r="E1691" s="2" t="s">
        <v>216</v>
      </c>
      <c r="F1691" s="3">
        <v>42979</v>
      </c>
      <c r="G1691" s="2" t="str">
        <f>"9781438466132"</f>
        <v>9781438466132</v>
      </c>
      <c r="H1691" s="2" t="s">
        <v>14</v>
      </c>
      <c r="I1691" s="4">
        <v>43326.629861111112</v>
      </c>
      <c r="J1691" s="2" t="s">
        <v>8284</v>
      </c>
    </row>
    <row r="1692" spans="1:10" ht="150" x14ac:dyDescent="0.25">
      <c r="A1692" s="2" t="s">
        <v>122</v>
      </c>
      <c r="B1692" s="2" t="s">
        <v>10195</v>
      </c>
      <c r="C1692" s="2" t="s">
        <v>10196</v>
      </c>
      <c r="D1692" s="2" t="s">
        <v>10194</v>
      </c>
      <c r="E1692" s="2" t="s">
        <v>526</v>
      </c>
      <c r="F1692" s="3">
        <v>42384</v>
      </c>
      <c r="G1692" s="2" t="str">
        <f>"9780292756090"</f>
        <v>9780292756090</v>
      </c>
      <c r="H1692" s="2" t="s">
        <v>14</v>
      </c>
      <c r="I1692" s="4">
        <v>43083.60833333333</v>
      </c>
      <c r="J1692" s="2" t="s">
        <v>10197</v>
      </c>
    </row>
    <row r="1693" spans="1:10" ht="135" x14ac:dyDescent="0.25">
      <c r="A1693" s="2" t="s">
        <v>122</v>
      </c>
      <c r="B1693" s="2" t="s">
        <v>12195</v>
      </c>
      <c r="C1693" s="2" t="s">
        <v>12196</v>
      </c>
      <c r="D1693" s="2" t="s">
        <v>12194</v>
      </c>
      <c r="E1693" s="2" t="s">
        <v>216</v>
      </c>
      <c r="F1693" s="3">
        <v>31381</v>
      </c>
      <c r="G1693" s="2" t="str">
        <f>"9781438419947"</f>
        <v>9781438419947</v>
      </c>
      <c r="H1693" s="2" t="s">
        <v>14</v>
      </c>
      <c r="I1693" s="4">
        <v>42837.418749999997</v>
      </c>
      <c r="J1693" s="2" t="s">
        <v>12197</v>
      </c>
    </row>
    <row r="1694" spans="1:10" ht="135" x14ac:dyDescent="0.25">
      <c r="A1694" s="2" t="s">
        <v>122</v>
      </c>
      <c r="B1694" s="2" t="s">
        <v>698</v>
      </c>
      <c r="C1694" s="2" t="s">
        <v>699</v>
      </c>
      <c r="D1694" s="2" t="s">
        <v>697</v>
      </c>
      <c r="E1694" s="2" t="s">
        <v>54</v>
      </c>
      <c r="F1694" s="3">
        <v>42431</v>
      </c>
      <c r="G1694" s="2" t="str">
        <f>"9780804797559"</f>
        <v>9780804797559</v>
      </c>
      <c r="H1694" s="2" t="s">
        <v>14</v>
      </c>
      <c r="I1694" s="4">
        <v>43998.35</v>
      </c>
      <c r="J1694" s="2" t="s">
        <v>700</v>
      </c>
    </row>
    <row r="1695" spans="1:10" ht="135" x14ac:dyDescent="0.25">
      <c r="A1695" s="2" t="s">
        <v>122</v>
      </c>
      <c r="B1695" s="2">
        <v>810.93552999999997</v>
      </c>
      <c r="C1695" s="2" t="s">
        <v>1523</v>
      </c>
      <c r="D1695" s="2" t="s">
        <v>1522</v>
      </c>
      <c r="E1695" s="2" t="s">
        <v>50</v>
      </c>
      <c r="F1695" s="3">
        <v>41974</v>
      </c>
      <c r="G1695" s="2" t="str">
        <f>"9780803269446"</f>
        <v>9780803269446</v>
      </c>
      <c r="H1695" s="2" t="s">
        <v>14</v>
      </c>
      <c r="I1695" s="4">
        <v>43939.352083333331</v>
      </c>
      <c r="J1695" s="2" t="s">
        <v>1524</v>
      </c>
    </row>
    <row r="1696" spans="1:10" ht="135" x14ac:dyDescent="0.25">
      <c r="A1696" s="2" t="s">
        <v>122</v>
      </c>
      <c r="B1696" s="2">
        <v>813.52</v>
      </c>
      <c r="C1696" s="2" t="s">
        <v>4551</v>
      </c>
      <c r="D1696" s="2" t="s">
        <v>4550</v>
      </c>
      <c r="E1696" s="2" t="s">
        <v>2846</v>
      </c>
      <c r="F1696" s="3">
        <v>43454</v>
      </c>
      <c r="G1696" s="2" t="str">
        <f>"9781946684769"</f>
        <v>9781946684769</v>
      </c>
      <c r="H1696" s="2" t="s">
        <v>14</v>
      </c>
      <c r="I1696" s="4">
        <v>43648.323611111111</v>
      </c>
      <c r="J1696" s="2" t="s">
        <v>4552</v>
      </c>
    </row>
    <row r="1697" spans="1:10" ht="135" x14ac:dyDescent="0.25">
      <c r="A1697" s="2" t="s">
        <v>122</v>
      </c>
      <c r="B1697" s="2" t="s">
        <v>12356</v>
      </c>
      <c r="C1697" s="2" t="s">
        <v>12357</v>
      </c>
      <c r="D1697" s="2" t="s">
        <v>12355</v>
      </c>
      <c r="E1697" s="2" t="s">
        <v>322</v>
      </c>
      <c r="F1697" s="3">
        <v>42614</v>
      </c>
      <c r="G1697" s="2" t="str">
        <f>"9780820349442"</f>
        <v>9780820349442</v>
      </c>
      <c r="H1697" s="2" t="s">
        <v>14</v>
      </c>
      <c r="I1697" s="4">
        <v>42814.645138888889</v>
      </c>
      <c r="J1697" s="2" t="s">
        <v>12358</v>
      </c>
    </row>
    <row r="1698" spans="1:10" ht="135" x14ac:dyDescent="0.25">
      <c r="A1698" s="2" t="s">
        <v>122</v>
      </c>
      <c r="B1698" s="2" t="s">
        <v>2740</v>
      </c>
      <c r="C1698" s="2" t="s">
        <v>4122</v>
      </c>
      <c r="D1698" s="2" t="s">
        <v>4121</v>
      </c>
      <c r="E1698" s="2" t="s">
        <v>130</v>
      </c>
      <c r="F1698" s="3">
        <v>42500</v>
      </c>
      <c r="G1698" s="2" t="str">
        <f>"9780813055954"</f>
        <v>9780813055954</v>
      </c>
      <c r="H1698" s="2" t="s">
        <v>14</v>
      </c>
      <c r="I1698" s="4">
        <v>43711.532638888886</v>
      </c>
      <c r="J1698" s="2" t="s">
        <v>4123</v>
      </c>
    </row>
    <row r="1699" spans="1:10" ht="135" x14ac:dyDescent="0.25">
      <c r="A1699" s="2" t="s">
        <v>122</v>
      </c>
      <c r="B1699" s="2">
        <v>892.73081999999897</v>
      </c>
      <c r="C1699" s="2" t="s">
        <v>9619</v>
      </c>
      <c r="D1699" s="2" t="s">
        <v>9618</v>
      </c>
      <c r="E1699" s="2" t="s">
        <v>246</v>
      </c>
      <c r="F1699" s="3">
        <v>42795</v>
      </c>
      <c r="G1699" s="2" t="str">
        <f>"9783447196154"</f>
        <v>9783447196154</v>
      </c>
      <c r="H1699" s="2" t="s">
        <v>14</v>
      </c>
      <c r="I1699" s="4">
        <v>43145.571527777778</v>
      </c>
      <c r="J1699" s="2" t="s">
        <v>9620</v>
      </c>
    </row>
    <row r="1700" spans="1:10" ht="135" x14ac:dyDescent="0.25">
      <c r="A1700" s="2" t="s">
        <v>122</v>
      </c>
      <c r="B1700" s="2" t="s">
        <v>137</v>
      </c>
      <c r="C1700" s="2" t="s">
        <v>9378</v>
      </c>
      <c r="D1700" s="2" t="s">
        <v>9377</v>
      </c>
      <c r="E1700" s="2" t="s">
        <v>526</v>
      </c>
      <c r="F1700" s="3">
        <v>42983</v>
      </c>
      <c r="G1700" s="2" t="str">
        <f>"9781477314692"</f>
        <v>9781477314692</v>
      </c>
      <c r="H1700" s="2" t="s">
        <v>14</v>
      </c>
      <c r="I1700" s="4">
        <v>43177.808333333334</v>
      </c>
      <c r="J1700" s="2" t="s">
        <v>9379</v>
      </c>
    </row>
    <row r="1701" spans="1:10" ht="210" x14ac:dyDescent="0.25">
      <c r="A1701" s="2" t="s">
        <v>122</v>
      </c>
      <c r="B1701" s="2" t="s">
        <v>7088</v>
      </c>
      <c r="C1701" s="2" t="s">
        <v>7089</v>
      </c>
      <c r="D1701" s="2" t="s">
        <v>7087</v>
      </c>
      <c r="E1701" s="2" t="s">
        <v>216</v>
      </c>
      <c r="F1701" s="3">
        <v>42795</v>
      </c>
      <c r="G1701" s="2" t="str">
        <f>"9781438463650"</f>
        <v>9781438463650</v>
      </c>
      <c r="H1701" s="2" t="s">
        <v>14</v>
      </c>
      <c r="I1701" s="4">
        <v>43448.857638888891</v>
      </c>
      <c r="J1701" s="2" t="s">
        <v>7090</v>
      </c>
    </row>
    <row r="1702" spans="1:10" ht="135" x14ac:dyDescent="0.25">
      <c r="A1702" s="2" t="s">
        <v>122</v>
      </c>
      <c r="B1702" s="2" t="s">
        <v>12156</v>
      </c>
      <c r="C1702" s="2" t="s">
        <v>12157</v>
      </c>
      <c r="D1702" s="2" t="s">
        <v>12155</v>
      </c>
      <c r="E1702" s="2" t="s">
        <v>11785</v>
      </c>
      <c r="F1702" s="3">
        <v>42314</v>
      </c>
      <c r="G1702" s="2" t="str">
        <f>"9780472121892"</f>
        <v>9780472121892</v>
      </c>
      <c r="H1702" s="2" t="s">
        <v>14</v>
      </c>
      <c r="I1702" s="4">
        <v>42843.525694444441</v>
      </c>
      <c r="J1702" s="2" t="s">
        <v>12158</v>
      </c>
    </row>
    <row r="1703" spans="1:10" ht="135" x14ac:dyDescent="0.25">
      <c r="A1703" s="2" t="s">
        <v>122</v>
      </c>
      <c r="B1703" s="2">
        <v>823.91408999999999</v>
      </c>
      <c r="C1703" s="2" t="s">
        <v>619</v>
      </c>
      <c r="D1703" s="2" t="s">
        <v>1509</v>
      </c>
      <c r="E1703" s="2" t="s">
        <v>17</v>
      </c>
      <c r="F1703" s="3">
        <v>39091</v>
      </c>
      <c r="G1703" s="2" t="str">
        <f>"9780230801394"</f>
        <v>9780230801394</v>
      </c>
      <c r="H1703" s="2" t="s">
        <v>14</v>
      </c>
      <c r="I1703" s="4">
        <v>43940.668055555558</v>
      </c>
      <c r="J1703" s="2" t="s">
        <v>1510</v>
      </c>
    </row>
    <row r="1704" spans="1:10" ht="135" x14ac:dyDescent="0.25">
      <c r="A1704" s="2" t="s">
        <v>122</v>
      </c>
      <c r="B1704" s="2">
        <v>821.7</v>
      </c>
      <c r="C1704" s="2" t="s">
        <v>11406</v>
      </c>
      <c r="D1704" s="2" t="s">
        <v>11405</v>
      </c>
      <c r="E1704" s="2" t="s">
        <v>4932</v>
      </c>
      <c r="F1704" s="3">
        <v>38899</v>
      </c>
      <c r="G1704" s="2" t="str">
        <f>"9781443809450"</f>
        <v>9781443809450</v>
      </c>
      <c r="H1704" s="2" t="s">
        <v>14</v>
      </c>
      <c r="I1704" s="4">
        <v>42975.701388888891</v>
      </c>
      <c r="J1704" s="2" t="s">
        <v>11407</v>
      </c>
    </row>
    <row r="1705" spans="1:10" ht="135" x14ac:dyDescent="0.25">
      <c r="A1705" s="2" t="s">
        <v>122</v>
      </c>
      <c r="B1705" s="2">
        <v>800</v>
      </c>
      <c r="C1705" s="2" t="s">
        <v>619</v>
      </c>
      <c r="D1705" s="2" t="s">
        <v>1464</v>
      </c>
      <c r="E1705" s="2" t="s">
        <v>37</v>
      </c>
      <c r="F1705" s="3">
        <v>43027</v>
      </c>
      <c r="G1705" s="2" t="str">
        <f>"9783319542386"</f>
        <v>9783319542386</v>
      </c>
      <c r="H1705" s="2" t="s">
        <v>14</v>
      </c>
      <c r="I1705" s="4">
        <v>43942.625</v>
      </c>
      <c r="J1705" s="2" t="s">
        <v>1465</v>
      </c>
    </row>
    <row r="1706" spans="1:10" ht="135" x14ac:dyDescent="0.25">
      <c r="A1706" s="2" t="s">
        <v>122</v>
      </c>
      <c r="B1706" s="2">
        <v>862.3</v>
      </c>
      <c r="C1706" s="2" t="s">
        <v>9987</v>
      </c>
      <c r="D1706" s="2" t="s">
        <v>9986</v>
      </c>
      <c r="E1706" s="2" t="s">
        <v>4660</v>
      </c>
      <c r="F1706" s="3">
        <v>30316</v>
      </c>
      <c r="G1706" s="2" t="str">
        <f>"9780813158822"</f>
        <v>9780813158822</v>
      </c>
      <c r="H1706" s="2" t="s">
        <v>14</v>
      </c>
      <c r="I1706" s="4">
        <v>43114.393055555556</v>
      </c>
      <c r="J1706" s="2" t="s">
        <v>9988</v>
      </c>
    </row>
    <row r="1707" spans="1:10" ht="135" x14ac:dyDescent="0.25">
      <c r="A1707" s="2" t="s">
        <v>122</v>
      </c>
      <c r="B1707" s="2" t="s">
        <v>2234</v>
      </c>
      <c r="C1707" s="2" t="s">
        <v>2235</v>
      </c>
      <c r="D1707" s="2" t="s">
        <v>2233</v>
      </c>
      <c r="E1707" s="2" t="s">
        <v>156</v>
      </c>
      <c r="F1707" s="3">
        <v>42436</v>
      </c>
      <c r="G1707" s="2" t="str">
        <f>"9781469628059"</f>
        <v>9781469628059</v>
      </c>
      <c r="H1707" s="2" t="s">
        <v>14</v>
      </c>
      <c r="I1707" s="4">
        <v>43899.484027777777</v>
      </c>
      <c r="J1707" s="2" t="s">
        <v>2236</v>
      </c>
    </row>
    <row r="1708" spans="1:10" ht="135" x14ac:dyDescent="0.25">
      <c r="A1708" s="2" t="s">
        <v>122</v>
      </c>
      <c r="B1708" s="2" t="s">
        <v>9219</v>
      </c>
      <c r="C1708" s="2" t="s">
        <v>6726</v>
      </c>
      <c r="D1708" s="2" t="s">
        <v>9218</v>
      </c>
      <c r="E1708" s="2" t="s">
        <v>578</v>
      </c>
      <c r="F1708" s="3">
        <v>41949</v>
      </c>
      <c r="G1708" s="2" t="str">
        <f>"9780252096747"</f>
        <v>9780252096747</v>
      </c>
      <c r="H1708" s="2" t="s">
        <v>14</v>
      </c>
      <c r="I1708" s="4">
        <v>43199.501388888886</v>
      </c>
      <c r="J1708" s="2" t="s">
        <v>9220</v>
      </c>
    </row>
    <row r="1709" spans="1:10" ht="135" x14ac:dyDescent="0.25">
      <c r="A1709" s="2" t="s">
        <v>122</v>
      </c>
      <c r="B1709" s="2">
        <v>813.52</v>
      </c>
      <c r="C1709" s="2" t="s">
        <v>2942</v>
      </c>
      <c r="D1709" s="2" t="s">
        <v>2941</v>
      </c>
      <c r="E1709" s="2" t="s">
        <v>46</v>
      </c>
      <c r="F1709" s="3">
        <v>43831</v>
      </c>
      <c r="G1709" s="2" t="str">
        <f>"9781496219244"</f>
        <v>9781496219244</v>
      </c>
      <c r="H1709" s="2" t="s">
        <v>14</v>
      </c>
      <c r="I1709" s="4">
        <v>43840.665277777778</v>
      </c>
      <c r="J1709" s="2" t="s">
        <v>2943</v>
      </c>
    </row>
    <row r="1710" spans="1:10" ht="165" x14ac:dyDescent="0.25">
      <c r="A1710" s="2" t="s">
        <v>122</v>
      </c>
      <c r="B1710" s="2" t="s">
        <v>5170</v>
      </c>
      <c r="C1710" s="2" t="s">
        <v>5171</v>
      </c>
      <c r="D1710" s="2" t="s">
        <v>5169</v>
      </c>
      <c r="E1710" s="2" t="s">
        <v>50</v>
      </c>
      <c r="F1710" s="3">
        <v>43556</v>
      </c>
      <c r="G1710" s="2" t="str">
        <f>"9781496213860"</f>
        <v>9781496213860</v>
      </c>
      <c r="H1710" s="2" t="s">
        <v>14</v>
      </c>
      <c r="I1710" s="4">
        <v>43608.953472222223</v>
      </c>
      <c r="J1710" s="2" t="s">
        <v>5172</v>
      </c>
    </row>
    <row r="1711" spans="1:10" ht="135" x14ac:dyDescent="0.25">
      <c r="A1711" s="2" t="s">
        <v>122</v>
      </c>
      <c r="B1711" s="2">
        <v>828.30899999999997</v>
      </c>
      <c r="C1711" s="2" t="s">
        <v>12172</v>
      </c>
      <c r="D1711" s="2" t="s">
        <v>12171</v>
      </c>
      <c r="E1711" s="2" t="s">
        <v>4660</v>
      </c>
      <c r="F1711" s="3">
        <v>35173</v>
      </c>
      <c r="G1711" s="2" t="str">
        <f>"9780813158846"</f>
        <v>9780813158846</v>
      </c>
      <c r="H1711" s="2" t="s">
        <v>14</v>
      </c>
      <c r="I1711" s="4">
        <v>42839.6</v>
      </c>
      <c r="J1711" s="2" t="s">
        <v>12173</v>
      </c>
    </row>
    <row r="1712" spans="1:10" ht="135" x14ac:dyDescent="0.25">
      <c r="A1712" s="2" t="s">
        <v>122</v>
      </c>
      <c r="B1712" s="2">
        <v>823.91200000000003</v>
      </c>
      <c r="C1712" s="2" t="s">
        <v>4328</v>
      </c>
      <c r="D1712" s="2" t="s">
        <v>4327</v>
      </c>
      <c r="E1712" s="2" t="s">
        <v>28</v>
      </c>
      <c r="F1712" s="3">
        <v>43647</v>
      </c>
      <c r="G1712" s="2" t="str">
        <f>"9780813942988"</f>
        <v>9780813942988</v>
      </c>
      <c r="H1712" s="2" t="s">
        <v>14</v>
      </c>
      <c r="I1712" s="4">
        <v>43681.866666666669</v>
      </c>
      <c r="J1712" s="2" t="s">
        <v>4329</v>
      </c>
    </row>
    <row r="1713" spans="1:10" ht="135" x14ac:dyDescent="0.25">
      <c r="A1713" s="2" t="s">
        <v>122</v>
      </c>
      <c r="B1713" s="2" t="s">
        <v>7773</v>
      </c>
      <c r="C1713" s="2" t="s">
        <v>7774</v>
      </c>
      <c r="D1713" s="2" t="s">
        <v>7772</v>
      </c>
      <c r="E1713" s="2" t="s">
        <v>41</v>
      </c>
      <c r="F1713" s="3">
        <v>42773</v>
      </c>
      <c r="G1713" s="2" t="str">
        <f>"9780817390709"</f>
        <v>9780817390709</v>
      </c>
      <c r="H1713" s="2" t="s">
        <v>14</v>
      </c>
      <c r="I1713" s="4">
        <v>43390.700694444444</v>
      </c>
      <c r="J1713" s="2" t="s">
        <v>7775</v>
      </c>
    </row>
    <row r="1714" spans="1:10" ht="135" x14ac:dyDescent="0.25">
      <c r="A1714" s="2" t="s">
        <v>122</v>
      </c>
      <c r="B1714" s="2">
        <v>821.1</v>
      </c>
      <c r="C1714" s="2" t="s">
        <v>11395</v>
      </c>
      <c r="D1714" s="2" t="s">
        <v>11394</v>
      </c>
      <c r="E1714" s="2" t="s">
        <v>80</v>
      </c>
      <c r="F1714" s="3">
        <v>42244</v>
      </c>
      <c r="G1714" s="2" t="str">
        <f>"9783653058741"</f>
        <v>9783653058741</v>
      </c>
      <c r="H1714" s="2" t="s">
        <v>14</v>
      </c>
      <c r="I1714" s="4">
        <v>42977.454861111109</v>
      </c>
      <c r="J1714" s="2" t="s">
        <v>11396</v>
      </c>
    </row>
    <row r="1715" spans="1:10" ht="135" x14ac:dyDescent="0.25">
      <c r="A1715" s="2" t="s">
        <v>122</v>
      </c>
      <c r="B1715" s="2" t="s">
        <v>10909</v>
      </c>
      <c r="C1715" s="2" t="s">
        <v>10910</v>
      </c>
      <c r="D1715" s="2" t="s">
        <v>10908</v>
      </c>
      <c r="E1715" s="2" t="s">
        <v>4660</v>
      </c>
      <c r="F1715" s="3">
        <v>41827</v>
      </c>
      <c r="G1715" s="2" t="str">
        <f>"9780813165059"</f>
        <v>9780813165059</v>
      </c>
      <c r="H1715" s="2" t="s">
        <v>14</v>
      </c>
      <c r="I1715" s="4">
        <v>43029.632638888892</v>
      </c>
      <c r="J1715" s="2" t="s">
        <v>10911</v>
      </c>
    </row>
    <row r="1716" spans="1:10" ht="135" x14ac:dyDescent="0.25">
      <c r="A1716" s="2" t="s">
        <v>122</v>
      </c>
      <c r="B1716" s="2">
        <v>810.90049999999997</v>
      </c>
      <c r="C1716" s="2" t="s">
        <v>5775</v>
      </c>
      <c r="D1716" s="2" t="s">
        <v>5774</v>
      </c>
      <c r="E1716" s="2" t="s">
        <v>73</v>
      </c>
      <c r="F1716" s="3">
        <v>43459</v>
      </c>
      <c r="G1716" s="2" t="str">
        <f>"9781452957623"</f>
        <v>9781452957623</v>
      </c>
      <c r="H1716" s="2" t="s">
        <v>14</v>
      </c>
      <c r="I1716" s="4">
        <v>43573.490277777775</v>
      </c>
      <c r="J1716" s="2" t="s">
        <v>5776</v>
      </c>
    </row>
    <row r="1717" spans="1:10" ht="135" x14ac:dyDescent="0.25">
      <c r="A1717" s="2" t="s">
        <v>122</v>
      </c>
      <c r="B1717" s="2">
        <v>823.8</v>
      </c>
      <c r="C1717" s="2" t="s">
        <v>9538</v>
      </c>
      <c r="D1717" s="2" t="s">
        <v>9537</v>
      </c>
      <c r="E1717" s="2" t="s">
        <v>4660</v>
      </c>
      <c r="F1717" s="3">
        <v>41827</v>
      </c>
      <c r="G1717" s="2" t="str">
        <f>"9780813161884"</f>
        <v>9780813161884</v>
      </c>
      <c r="H1717" s="2" t="s">
        <v>14</v>
      </c>
      <c r="I1717" s="4">
        <v>43157.563888888886</v>
      </c>
      <c r="J1717" s="2" t="s">
        <v>9539</v>
      </c>
    </row>
    <row r="1718" spans="1:10" ht="150" x14ac:dyDescent="0.25">
      <c r="A1718" s="2" t="s">
        <v>122</v>
      </c>
      <c r="B1718" s="2">
        <v>811.50900000000001</v>
      </c>
      <c r="C1718" s="2" t="s">
        <v>1442</v>
      </c>
      <c r="D1718" s="2" t="s">
        <v>1441</v>
      </c>
      <c r="E1718" s="2" t="s">
        <v>164</v>
      </c>
      <c r="F1718" s="3">
        <v>43784</v>
      </c>
      <c r="G1718" s="2" t="str">
        <f>"9780826360519"</f>
        <v>9780826360519</v>
      </c>
      <c r="H1718" s="2" t="s">
        <v>14</v>
      </c>
      <c r="I1718" s="4">
        <v>43943.415972222225</v>
      </c>
      <c r="J1718" s="2" t="s">
        <v>1443</v>
      </c>
    </row>
    <row r="1719" spans="1:10" ht="135" x14ac:dyDescent="0.25">
      <c r="A1719" s="2" t="s">
        <v>122</v>
      </c>
      <c r="B1719" s="2">
        <v>813.00935300000003</v>
      </c>
      <c r="C1719" s="2" t="s">
        <v>8040</v>
      </c>
      <c r="D1719" s="2" t="s">
        <v>8039</v>
      </c>
      <c r="E1719" s="2" t="s">
        <v>73</v>
      </c>
      <c r="F1719" s="3">
        <v>43270</v>
      </c>
      <c r="G1719" s="2" t="str">
        <f>"9781452956992"</f>
        <v>9781452956992</v>
      </c>
      <c r="H1719" s="2" t="s">
        <v>14</v>
      </c>
      <c r="I1719" s="4">
        <v>43361.594444444447</v>
      </c>
      <c r="J1719" s="2" t="s">
        <v>8041</v>
      </c>
    </row>
    <row r="1720" spans="1:10" ht="135" x14ac:dyDescent="0.25">
      <c r="A1720" s="2" t="s">
        <v>122</v>
      </c>
      <c r="B1720" s="2">
        <v>809.39359999999999</v>
      </c>
      <c r="C1720" s="2" t="s">
        <v>3320</v>
      </c>
      <c r="D1720" s="2" t="s">
        <v>3319</v>
      </c>
      <c r="E1720" s="2" t="s">
        <v>2747</v>
      </c>
      <c r="F1720" s="3">
        <v>43448</v>
      </c>
      <c r="G1720" s="2" t="str">
        <f>"9781788740739"</f>
        <v>9781788740739</v>
      </c>
      <c r="H1720" s="2" t="s">
        <v>14</v>
      </c>
      <c r="I1720" s="4">
        <v>43790.618055555555</v>
      </c>
      <c r="J1720" s="2" t="s">
        <v>3321</v>
      </c>
    </row>
    <row r="1721" spans="1:10" ht="180" x14ac:dyDescent="0.25">
      <c r="A1721" s="2" t="s">
        <v>122</v>
      </c>
      <c r="B1721" s="2">
        <v>823.91399999999999</v>
      </c>
      <c r="C1721" s="2" t="s">
        <v>4038</v>
      </c>
      <c r="D1721" s="2" t="s">
        <v>4037</v>
      </c>
      <c r="E1721" s="2" t="s">
        <v>54</v>
      </c>
      <c r="F1721" s="3">
        <v>43620</v>
      </c>
      <c r="G1721" s="2" t="str">
        <f>"9781503609372"</f>
        <v>9781503609372</v>
      </c>
      <c r="H1721" s="2" t="s">
        <v>14</v>
      </c>
      <c r="I1721" s="4">
        <v>43724.350694444445</v>
      </c>
      <c r="J1721" s="2" t="s">
        <v>4039</v>
      </c>
    </row>
    <row r="1722" spans="1:10" ht="135" x14ac:dyDescent="0.25">
      <c r="A1722" s="2" t="s">
        <v>122</v>
      </c>
      <c r="B1722" s="2">
        <v>809.03399999999999</v>
      </c>
      <c r="C1722" s="2" t="s">
        <v>619</v>
      </c>
      <c r="D1722" s="2" t="s">
        <v>4959</v>
      </c>
      <c r="E1722" s="2" t="s">
        <v>37</v>
      </c>
      <c r="F1722" s="3">
        <v>42732</v>
      </c>
      <c r="G1722" s="2" t="str">
        <f>"9783319387673"</f>
        <v>9783319387673</v>
      </c>
      <c r="H1722" s="2" t="s">
        <v>14</v>
      </c>
      <c r="I1722" s="4">
        <v>43614.895138888889</v>
      </c>
      <c r="J1722" s="2" t="s">
        <v>4960</v>
      </c>
    </row>
    <row r="1723" spans="1:10" ht="135" x14ac:dyDescent="0.25">
      <c r="A1723" s="2" t="s">
        <v>122</v>
      </c>
      <c r="B1723" s="2">
        <v>863.64</v>
      </c>
      <c r="C1723" s="2" t="s">
        <v>766</v>
      </c>
      <c r="D1723" s="2" t="s">
        <v>765</v>
      </c>
      <c r="E1723" s="2" t="s">
        <v>390</v>
      </c>
      <c r="F1723" s="3">
        <v>43769</v>
      </c>
      <c r="G1723" s="2" t="str">
        <f>"9780268106485"</f>
        <v>9780268106485</v>
      </c>
      <c r="H1723" s="2" t="s">
        <v>14</v>
      </c>
      <c r="I1723" s="4">
        <v>43990.419444444444</v>
      </c>
      <c r="J1723" s="2" t="s">
        <v>767</v>
      </c>
    </row>
    <row r="1724" spans="1:10" ht="135" x14ac:dyDescent="0.25">
      <c r="A1724" s="2" t="s">
        <v>122</v>
      </c>
      <c r="B1724" s="2" t="s">
        <v>6530</v>
      </c>
      <c r="C1724" s="2" t="s">
        <v>6531</v>
      </c>
      <c r="D1724" s="2" t="s">
        <v>6529</v>
      </c>
      <c r="E1724" s="2" t="s">
        <v>390</v>
      </c>
      <c r="F1724" s="3">
        <v>42824</v>
      </c>
      <c r="G1724" s="2" t="str">
        <f>"9780268101374"</f>
        <v>9780268101374</v>
      </c>
      <c r="H1724" s="2" t="s">
        <v>14</v>
      </c>
      <c r="I1724" s="4">
        <v>43509.683333333334</v>
      </c>
      <c r="J1724" s="2" t="s">
        <v>6532</v>
      </c>
    </row>
    <row r="1725" spans="1:10" ht="135" x14ac:dyDescent="0.25">
      <c r="A1725" s="2" t="s">
        <v>122</v>
      </c>
      <c r="B1725" s="2">
        <v>840.9</v>
      </c>
      <c r="C1725" s="2" t="s">
        <v>8269</v>
      </c>
      <c r="D1725" s="2" t="s">
        <v>8268</v>
      </c>
      <c r="E1725" s="2" t="s">
        <v>723</v>
      </c>
      <c r="F1725" s="3">
        <v>42475</v>
      </c>
      <c r="G1725" s="2" t="str">
        <f>"9781612494524"</f>
        <v>9781612494524</v>
      </c>
      <c r="H1725" s="2" t="s">
        <v>14</v>
      </c>
      <c r="I1725" s="4">
        <v>43328.611805555556</v>
      </c>
      <c r="J1725" s="2" t="s">
        <v>8270</v>
      </c>
    </row>
    <row r="1726" spans="1:10" ht="135" x14ac:dyDescent="0.25">
      <c r="A1726" s="2" t="s">
        <v>122</v>
      </c>
      <c r="B1726" s="2" t="s">
        <v>437</v>
      </c>
      <c r="C1726" s="2" t="s">
        <v>9157</v>
      </c>
      <c r="D1726" s="2" t="s">
        <v>9156</v>
      </c>
      <c r="E1726" s="2" t="s">
        <v>11</v>
      </c>
      <c r="F1726" s="3">
        <v>40476</v>
      </c>
      <c r="G1726" s="2" t="str">
        <f>"9780813218977"</f>
        <v>9780813218977</v>
      </c>
      <c r="H1726" s="2" t="s">
        <v>14</v>
      </c>
      <c r="I1726" s="4">
        <v>43207.410416666666</v>
      </c>
      <c r="J1726" s="2" t="s">
        <v>9158</v>
      </c>
    </row>
    <row r="1727" spans="1:10" ht="135" x14ac:dyDescent="0.25">
      <c r="A1727" s="2" t="s">
        <v>122</v>
      </c>
      <c r="B1727" s="2" t="s">
        <v>3887</v>
      </c>
      <c r="C1727" s="2" t="s">
        <v>3888</v>
      </c>
      <c r="D1727" s="2" t="s">
        <v>3886</v>
      </c>
      <c r="E1727" s="2" t="s">
        <v>310</v>
      </c>
      <c r="F1727" s="3">
        <v>43131</v>
      </c>
      <c r="G1727" s="2" t="str">
        <f>"9780815654452"</f>
        <v>9780815654452</v>
      </c>
      <c r="H1727" s="2" t="s">
        <v>14</v>
      </c>
      <c r="I1727" s="4">
        <v>43744.457638888889</v>
      </c>
      <c r="J1727" s="2" t="s">
        <v>3889</v>
      </c>
    </row>
    <row r="1728" spans="1:10" ht="135" x14ac:dyDescent="0.25">
      <c r="A1728" s="2" t="s">
        <v>122</v>
      </c>
      <c r="B1728" s="2" t="s">
        <v>10078</v>
      </c>
      <c r="C1728" s="2" t="s">
        <v>10079</v>
      </c>
      <c r="D1728" s="2" t="s">
        <v>10077</v>
      </c>
      <c r="E1728" s="2" t="s">
        <v>578</v>
      </c>
      <c r="F1728" s="3">
        <v>42345</v>
      </c>
      <c r="G1728" s="2" t="str">
        <f>"9780252097812"</f>
        <v>9780252097812</v>
      </c>
      <c r="H1728" s="2" t="s">
        <v>14</v>
      </c>
      <c r="I1728" s="4">
        <v>43104.80972222222</v>
      </c>
      <c r="J1728" s="2" t="s">
        <v>10080</v>
      </c>
    </row>
    <row r="1729" spans="1:10" ht="180" x14ac:dyDescent="0.25">
      <c r="A1729" s="2" t="s">
        <v>122</v>
      </c>
      <c r="B1729" s="2">
        <v>851.1</v>
      </c>
      <c r="C1729" s="2" t="s">
        <v>12243</v>
      </c>
      <c r="D1729" s="2" t="s">
        <v>12242</v>
      </c>
      <c r="E1729" s="2" t="s">
        <v>80</v>
      </c>
      <c r="F1729" s="3">
        <v>42107</v>
      </c>
      <c r="G1729" s="2" t="str">
        <f>"9783653049596"</f>
        <v>9783653049596</v>
      </c>
      <c r="H1729" s="2" t="s">
        <v>14</v>
      </c>
      <c r="I1729" s="4">
        <v>42827.440972222219</v>
      </c>
      <c r="J1729" s="2" t="s">
        <v>12244</v>
      </c>
    </row>
    <row r="1730" spans="1:10" ht="135" x14ac:dyDescent="0.25">
      <c r="A1730" s="2" t="s">
        <v>122</v>
      </c>
      <c r="B1730" s="2" t="s">
        <v>7155</v>
      </c>
      <c r="C1730" s="2" t="s">
        <v>127</v>
      </c>
      <c r="D1730" s="2" t="s">
        <v>7154</v>
      </c>
      <c r="E1730" s="2" t="s">
        <v>622</v>
      </c>
      <c r="F1730" s="3">
        <v>43220</v>
      </c>
      <c r="G1730" s="2" t="str">
        <f>"9780826274069"</f>
        <v>9780826274069</v>
      </c>
      <c r="H1730" s="2" t="s">
        <v>14</v>
      </c>
      <c r="I1730" s="4">
        <v>43439.655555555553</v>
      </c>
      <c r="J1730" s="2" t="s">
        <v>7156</v>
      </c>
    </row>
    <row r="1731" spans="1:10" ht="135" x14ac:dyDescent="0.25">
      <c r="A1731" s="2" t="s">
        <v>122</v>
      </c>
      <c r="B1731" s="2" t="s">
        <v>5214</v>
      </c>
      <c r="C1731" s="2" t="s">
        <v>5215</v>
      </c>
      <c r="D1731" s="2" t="s">
        <v>5213</v>
      </c>
      <c r="E1731" s="2" t="s">
        <v>4670</v>
      </c>
      <c r="F1731" s="3">
        <v>42010</v>
      </c>
      <c r="G1731" s="2" t="str">
        <f>"9781611686449"</f>
        <v>9781611686449</v>
      </c>
      <c r="H1731" s="2" t="s">
        <v>14</v>
      </c>
      <c r="I1731" s="4">
        <v>43607.782638888886</v>
      </c>
      <c r="J1731" s="2" t="s">
        <v>5216</v>
      </c>
    </row>
    <row r="1732" spans="1:10" ht="135" x14ac:dyDescent="0.25">
      <c r="A1732" s="2" t="s">
        <v>122</v>
      </c>
      <c r="B1732" s="2" t="s">
        <v>2610</v>
      </c>
      <c r="C1732" s="2" t="s">
        <v>2611</v>
      </c>
      <c r="D1732" s="2" t="s">
        <v>2609</v>
      </c>
      <c r="E1732" s="2" t="s">
        <v>216</v>
      </c>
      <c r="F1732" s="3">
        <v>43344</v>
      </c>
      <c r="G1732" s="2" t="str">
        <f>"9781438471167"</f>
        <v>9781438471167</v>
      </c>
      <c r="H1732" s="2" t="s">
        <v>14</v>
      </c>
      <c r="I1732" s="4">
        <v>43872.685416666667</v>
      </c>
      <c r="J1732" s="2" t="s">
        <v>2612</v>
      </c>
    </row>
    <row r="1733" spans="1:10" ht="135" x14ac:dyDescent="0.25">
      <c r="A1733" s="2" t="s">
        <v>122</v>
      </c>
      <c r="B1733" s="2" t="s">
        <v>2740</v>
      </c>
      <c r="C1733" s="2" t="s">
        <v>3638</v>
      </c>
      <c r="D1733" s="2" t="s">
        <v>5562</v>
      </c>
      <c r="E1733" s="2" t="s">
        <v>578</v>
      </c>
      <c r="F1733" s="3">
        <v>42320</v>
      </c>
      <c r="G1733" s="2" t="str">
        <f>"9780252097713"</f>
        <v>9780252097713</v>
      </c>
      <c r="H1733" s="2" t="s">
        <v>14</v>
      </c>
      <c r="I1733" s="4">
        <v>43588.354861111111</v>
      </c>
      <c r="J1733" s="2" t="s">
        <v>5563</v>
      </c>
    </row>
    <row r="1734" spans="1:10" ht="135" x14ac:dyDescent="0.25">
      <c r="A1734" s="2" t="s">
        <v>122</v>
      </c>
      <c r="B1734" s="2" t="s">
        <v>3377</v>
      </c>
      <c r="C1734" s="2" t="s">
        <v>3378</v>
      </c>
      <c r="D1734" s="2" t="s">
        <v>3376</v>
      </c>
      <c r="E1734" s="2" t="s">
        <v>58</v>
      </c>
      <c r="F1734" s="3">
        <v>43340</v>
      </c>
      <c r="G1734" s="2" t="str">
        <f>"9780299316037"</f>
        <v>9780299316037</v>
      </c>
      <c r="H1734" s="2" t="s">
        <v>14</v>
      </c>
      <c r="I1734" s="4">
        <v>43786.739583333336</v>
      </c>
      <c r="J1734" s="2" t="s">
        <v>3379</v>
      </c>
    </row>
    <row r="1735" spans="1:10" ht="135" x14ac:dyDescent="0.25">
      <c r="A1735" s="2" t="s">
        <v>122</v>
      </c>
      <c r="B1735" s="2">
        <v>801.3</v>
      </c>
      <c r="C1735" s="2" t="s">
        <v>2454</v>
      </c>
      <c r="D1735" s="2" t="s">
        <v>2453</v>
      </c>
      <c r="E1735" s="2" t="s">
        <v>73</v>
      </c>
      <c r="F1735" s="3">
        <v>42156</v>
      </c>
      <c r="G1735" s="2" t="str">
        <f>"9781452944326"</f>
        <v>9781452944326</v>
      </c>
      <c r="H1735" s="2" t="s">
        <v>14</v>
      </c>
      <c r="I1735" s="4">
        <v>43884.649305555555</v>
      </c>
      <c r="J1735" s="2" t="s">
        <v>2455</v>
      </c>
    </row>
    <row r="1736" spans="1:10" ht="135" x14ac:dyDescent="0.25">
      <c r="A1736" s="2" t="s">
        <v>122</v>
      </c>
      <c r="B1736" s="2">
        <v>810.91120000000001</v>
      </c>
      <c r="C1736" s="2" t="s">
        <v>11024</v>
      </c>
      <c r="D1736" s="2" t="s">
        <v>11023</v>
      </c>
      <c r="E1736" s="2" t="s">
        <v>180</v>
      </c>
      <c r="F1736" s="3">
        <v>42279</v>
      </c>
      <c r="G1736" s="2" t="str">
        <f>"9781479810628"</f>
        <v>9781479810628</v>
      </c>
      <c r="H1736" s="2" t="s">
        <v>14</v>
      </c>
      <c r="I1736" s="4">
        <v>43022.472222222219</v>
      </c>
      <c r="J1736" s="2" t="s">
        <v>11025</v>
      </c>
    </row>
    <row r="1737" spans="1:10" ht="135" x14ac:dyDescent="0.25">
      <c r="A1737" s="2" t="s">
        <v>122</v>
      </c>
      <c r="B1737" s="2" t="s">
        <v>2690</v>
      </c>
      <c r="C1737" s="2" t="s">
        <v>2691</v>
      </c>
      <c r="D1737" s="2" t="s">
        <v>2689</v>
      </c>
      <c r="E1737" s="2" t="s">
        <v>58</v>
      </c>
      <c r="F1737" s="3">
        <v>41976</v>
      </c>
      <c r="G1737" s="2" t="str">
        <f>"9780299300937"</f>
        <v>9780299300937</v>
      </c>
      <c r="H1737" s="2" t="s">
        <v>14</v>
      </c>
      <c r="I1737" s="4">
        <v>43864.646527777775</v>
      </c>
      <c r="J1737" s="2" t="s">
        <v>2692</v>
      </c>
    </row>
    <row r="1738" spans="1:10" ht="135" x14ac:dyDescent="0.25">
      <c r="A1738" s="2" t="s">
        <v>122</v>
      </c>
      <c r="B1738" s="2" t="s">
        <v>4681</v>
      </c>
      <c r="C1738" s="2" t="s">
        <v>4682</v>
      </c>
      <c r="D1738" s="2" t="s">
        <v>4680</v>
      </c>
      <c r="E1738" s="2" t="s">
        <v>585</v>
      </c>
      <c r="F1738" s="3">
        <v>42725</v>
      </c>
      <c r="G1738" s="2" t="str">
        <f>"9780226416021"</f>
        <v>9780226416021</v>
      </c>
      <c r="H1738" s="2" t="s">
        <v>14</v>
      </c>
      <c r="I1738" s="4">
        <v>43638.365972222222</v>
      </c>
      <c r="J1738" s="2" t="s">
        <v>4683</v>
      </c>
    </row>
    <row r="1739" spans="1:10" ht="135" x14ac:dyDescent="0.25">
      <c r="A1739" s="2" t="s">
        <v>122</v>
      </c>
      <c r="B1739" s="2" t="s">
        <v>509</v>
      </c>
      <c r="C1739" s="2" t="s">
        <v>510</v>
      </c>
      <c r="D1739" s="2" t="s">
        <v>508</v>
      </c>
      <c r="E1739" s="2" t="s">
        <v>460</v>
      </c>
      <c r="F1739" s="3">
        <v>43439</v>
      </c>
      <c r="G1739" s="2" t="str">
        <f>"9780773555662"</f>
        <v>9780773555662</v>
      </c>
      <c r="H1739" s="2" t="s">
        <v>14</v>
      </c>
      <c r="I1739" s="4">
        <v>44016.835416666669</v>
      </c>
      <c r="J1739" s="2" t="s">
        <v>511</v>
      </c>
    </row>
    <row r="1740" spans="1:10" ht="135" x14ac:dyDescent="0.25">
      <c r="A1740" s="2" t="s">
        <v>122</v>
      </c>
      <c r="B1740" s="2" t="s">
        <v>9418</v>
      </c>
      <c r="C1740" s="2" t="s">
        <v>9419</v>
      </c>
      <c r="D1740" s="2" t="s">
        <v>9417</v>
      </c>
      <c r="E1740" s="2" t="s">
        <v>526</v>
      </c>
      <c r="F1740" s="3">
        <v>40878</v>
      </c>
      <c r="G1740" s="2" t="str">
        <f>"9780292735507"</f>
        <v>9780292735507</v>
      </c>
      <c r="H1740" s="2" t="s">
        <v>14</v>
      </c>
      <c r="I1740" s="4">
        <v>43169.748611111114</v>
      </c>
      <c r="J1740" s="2" t="s">
        <v>9420</v>
      </c>
    </row>
    <row r="1741" spans="1:10" ht="150" x14ac:dyDescent="0.25">
      <c r="A1741" s="2" t="s">
        <v>122</v>
      </c>
      <c r="B1741" s="2">
        <v>809.93352200000004</v>
      </c>
      <c r="C1741" s="2" t="s">
        <v>12093</v>
      </c>
      <c r="D1741" s="2" t="s">
        <v>12092</v>
      </c>
      <c r="E1741" s="2" t="s">
        <v>80</v>
      </c>
      <c r="F1741" s="3">
        <v>41982</v>
      </c>
      <c r="G1741" s="2" t="str">
        <f>"9783653033199"</f>
        <v>9783653033199</v>
      </c>
      <c r="H1741" s="2" t="s">
        <v>14</v>
      </c>
      <c r="I1741" s="4">
        <v>42851.438194444447</v>
      </c>
      <c r="J1741" s="2" t="s">
        <v>12094</v>
      </c>
    </row>
    <row r="1742" spans="1:10" ht="135" x14ac:dyDescent="0.25">
      <c r="A1742" s="2" t="s">
        <v>122</v>
      </c>
      <c r="B1742" s="2">
        <v>843.8</v>
      </c>
      <c r="C1742" s="2" t="s">
        <v>6915</v>
      </c>
      <c r="D1742" s="2" t="s">
        <v>6914</v>
      </c>
      <c r="E1742" s="2" t="s">
        <v>73</v>
      </c>
      <c r="F1742" s="3">
        <v>42285</v>
      </c>
      <c r="G1742" s="2" t="str">
        <f>"9781452944746"</f>
        <v>9781452944746</v>
      </c>
      <c r="H1742" s="2" t="s">
        <v>14</v>
      </c>
      <c r="I1742" s="4">
        <v>43476.817361111112</v>
      </c>
      <c r="J1742" s="2" t="s">
        <v>6916</v>
      </c>
    </row>
    <row r="1743" spans="1:10" ht="135" x14ac:dyDescent="0.25">
      <c r="A1743" s="2" t="s">
        <v>122</v>
      </c>
      <c r="B1743" s="2">
        <v>823</v>
      </c>
      <c r="C1743" s="2" t="s">
        <v>10166</v>
      </c>
      <c r="D1743" s="2" t="s">
        <v>10165</v>
      </c>
      <c r="E1743" s="2" t="s">
        <v>3950</v>
      </c>
      <c r="F1743" s="3">
        <v>42257</v>
      </c>
      <c r="G1743" s="2" t="str">
        <f>"9781869143459"</f>
        <v>9781869143459</v>
      </c>
      <c r="H1743" s="2" t="s">
        <v>14</v>
      </c>
      <c r="I1743" s="4">
        <v>43090.174305555556</v>
      </c>
      <c r="J1743" s="2" t="s">
        <v>10167</v>
      </c>
    </row>
    <row r="1744" spans="1:10" ht="135" x14ac:dyDescent="0.25">
      <c r="A1744" s="2" t="s">
        <v>122</v>
      </c>
      <c r="B1744" s="2">
        <v>823.8</v>
      </c>
      <c r="C1744" s="2" t="s">
        <v>10157</v>
      </c>
      <c r="D1744" s="2" t="s">
        <v>10156</v>
      </c>
      <c r="E1744" s="2" t="s">
        <v>80</v>
      </c>
      <c r="F1744" s="3">
        <v>42037</v>
      </c>
      <c r="G1744" s="2" t="str">
        <f>"9783653032178"</f>
        <v>9783653032178</v>
      </c>
      <c r="H1744" s="2" t="s">
        <v>14</v>
      </c>
      <c r="I1744" s="4">
        <v>43090.698611111111</v>
      </c>
      <c r="J1744" s="2" t="s">
        <v>10158</v>
      </c>
    </row>
    <row r="1745" spans="1:10" ht="135" x14ac:dyDescent="0.25">
      <c r="A1745" s="2" t="s">
        <v>122</v>
      </c>
      <c r="B1745" s="2">
        <v>841.00800000000004</v>
      </c>
      <c r="C1745" s="2" t="s">
        <v>10138</v>
      </c>
      <c r="D1745" s="2" t="s">
        <v>10137</v>
      </c>
      <c r="E1745" s="2" t="s">
        <v>73</v>
      </c>
      <c r="F1745" s="3">
        <v>42696</v>
      </c>
      <c r="G1745" s="2" t="str">
        <f>"9781945414145"</f>
        <v>9781945414145</v>
      </c>
      <c r="H1745" s="2" t="s">
        <v>14</v>
      </c>
      <c r="I1745" s="4">
        <v>43095.414583333331</v>
      </c>
      <c r="J1745" s="2" t="s">
        <v>10139</v>
      </c>
    </row>
    <row r="1746" spans="1:10" ht="135" x14ac:dyDescent="0.25">
      <c r="A1746" s="2" t="s">
        <v>122</v>
      </c>
      <c r="B1746" s="2">
        <v>843.92</v>
      </c>
      <c r="C1746" s="2" t="s">
        <v>4732</v>
      </c>
      <c r="D1746" s="2" t="s">
        <v>4731</v>
      </c>
      <c r="E1746" s="2" t="s">
        <v>28</v>
      </c>
      <c r="F1746" s="3">
        <v>43362</v>
      </c>
      <c r="G1746" s="2" t="str">
        <f>"9780813940304"</f>
        <v>9780813940304</v>
      </c>
      <c r="H1746" s="2" t="s">
        <v>14</v>
      </c>
      <c r="I1746" s="4">
        <v>43634.419444444444</v>
      </c>
      <c r="J1746" s="2" t="s">
        <v>4733</v>
      </c>
    </row>
    <row r="1747" spans="1:10" ht="135" x14ac:dyDescent="0.25">
      <c r="A1747" s="2" t="s">
        <v>122</v>
      </c>
      <c r="B1747" s="2">
        <v>809.933581</v>
      </c>
      <c r="C1747" s="2" t="s">
        <v>1149</v>
      </c>
      <c r="D1747" s="2" t="s">
        <v>1507</v>
      </c>
      <c r="E1747" s="2" t="s">
        <v>101</v>
      </c>
      <c r="F1747" s="3">
        <v>43327</v>
      </c>
      <c r="G1747" s="2" t="str">
        <f>"9780810137516"</f>
        <v>9780810137516</v>
      </c>
      <c r="H1747" s="2" t="s">
        <v>14</v>
      </c>
      <c r="I1747" s="4">
        <v>43940.89166666667</v>
      </c>
      <c r="J1747" s="2" t="s">
        <v>1508</v>
      </c>
    </row>
    <row r="1748" spans="1:10" ht="135" x14ac:dyDescent="0.25">
      <c r="A1748" s="2" t="s">
        <v>122</v>
      </c>
      <c r="B1748" s="2">
        <v>822.33</v>
      </c>
      <c r="C1748" s="2" t="s">
        <v>12416</v>
      </c>
      <c r="D1748" s="2" t="s">
        <v>12415</v>
      </c>
      <c r="E1748" s="2" t="s">
        <v>4660</v>
      </c>
      <c r="F1748" s="3">
        <v>31436</v>
      </c>
      <c r="G1748" s="2" t="str">
        <f>"9780813159171"</f>
        <v>9780813159171</v>
      </c>
      <c r="H1748" s="2" t="s">
        <v>14</v>
      </c>
      <c r="I1748" s="4">
        <v>42808.571527777778</v>
      </c>
      <c r="J1748" s="2" t="s">
        <v>12417</v>
      </c>
    </row>
    <row r="1749" spans="1:10" ht="135" x14ac:dyDescent="0.25">
      <c r="A1749" s="2" t="s">
        <v>122</v>
      </c>
      <c r="B1749" s="2">
        <v>862.30935999999997</v>
      </c>
      <c r="C1749" s="2" t="s">
        <v>9806</v>
      </c>
      <c r="D1749" s="2" t="s">
        <v>9805</v>
      </c>
      <c r="E1749" s="2" t="s">
        <v>4660</v>
      </c>
      <c r="F1749" s="3">
        <v>41827</v>
      </c>
      <c r="G1749" s="2" t="str">
        <f>"9780813162942"</f>
        <v>9780813162942</v>
      </c>
      <c r="H1749" s="2" t="s">
        <v>14</v>
      </c>
      <c r="I1749" s="4">
        <v>43128.593055555553</v>
      </c>
      <c r="J1749" s="2" t="s">
        <v>9807</v>
      </c>
    </row>
    <row r="1750" spans="1:10" ht="135" x14ac:dyDescent="0.25">
      <c r="A1750" s="2" t="s">
        <v>122</v>
      </c>
      <c r="B1750" s="2">
        <v>822.00800000000004</v>
      </c>
      <c r="C1750" s="2" t="s">
        <v>5894</v>
      </c>
      <c r="D1750" s="2" t="s">
        <v>5893</v>
      </c>
      <c r="E1750" s="2" t="s">
        <v>11</v>
      </c>
      <c r="F1750" s="3">
        <v>42472</v>
      </c>
      <c r="G1750" s="2" t="str">
        <f>"9780813227887"</f>
        <v>9780813227887</v>
      </c>
      <c r="H1750" s="2" t="s">
        <v>14</v>
      </c>
      <c r="I1750" s="4">
        <v>43560.915972222225</v>
      </c>
      <c r="J1750" s="2" t="s">
        <v>5895</v>
      </c>
    </row>
    <row r="1751" spans="1:10" ht="135" x14ac:dyDescent="0.25">
      <c r="A1751" s="2" t="s">
        <v>122</v>
      </c>
      <c r="B1751" s="2">
        <v>874.01089999999999</v>
      </c>
      <c r="C1751" s="2" t="s">
        <v>9191</v>
      </c>
      <c r="D1751" s="2" t="s">
        <v>9190</v>
      </c>
      <c r="E1751" s="2" t="s">
        <v>58</v>
      </c>
      <c r="F1751" s="3">
        <v>42184</v>
      </c>
      <c r="G1751" s="2" t="str">
        <f>"9780299303839"</f>
        <v>9780299303839</v>
      </c>
      <c r="H1751" s="2" t="s">
        <v>14</v>
      </c>
      <c r="I1751" s="4">
        <v>43201.612500000003</v>
      </c>
      <c r="J1751" s="2" t="s">
        <v>9192</v>
      </c>
    </row>
    <row r="1752" spans="1:10" ht="135" x14ac:dyDescent="0.25">
      <c r="A1752" s="2" t="s">
        <v>122</v>
      </c>
      <c r="B1752" s="2">
        <v>823.92</v>
      </c>
      <c r="C1752" s="2" t="s">
        <v>5310</v>
      </c>
      <c r="D1752" s="2" t="s">
        <v>5309</v>
      </c>
      <c r="E1752" s="2" t="s">
        <v>212</v>
      </c>
      <c r="F1752" s="3">
        <v>42809</v>
      </c>
      <c r="G1752" s="2" t="str">
        <f>"9789956764181"</f>
        <v>9789956764181</v>
      </c>
      <c r="H1752" s="2" t="s">
        <v>14</v>
      </c>
      <c r="I1752" s="4">
        <v>43605.879166666666</v>
      </c>
      <c r="J1752" s="2" t="s">
        <v>5311</v>
      </c>
    </row>
    <row r="1753" spans="1:10" ht="135" x14ac:dyDescent="0.25">
      <c r="A1753" s="2" t="s">
        <v>122</v>
      </c>
      <c r="B1753" s="2">
        <v>830.93600000000004</v>
      </c>
      <c r="C1753" s="2" t="s">
        <v>2832</v>
      </c>
      <c r="D1753" s="2" t="s">
        <v>2831</v>
      </c>
      <c r="E1753" s="2" t="s">
        <v>101</v>
      </c>
      <c r="F1753" s="3">
        <v>43631</v>
      </c>
      <c r="G1753" s="2" t="str">
        <f>"9780810140233"</f>
        <v>9780810140233</v>
      </c>
      <c r="H1753" s="2" t="s">
        <v>14</v>
      </c>
      <c r="I1753" s="4">
        <v>43851.567361111112</v>
      </c>
      <c r="J1753" s="2" t="s">
        <v>2833</v>
      </c>
    </row>
    <row r="1754" spans="1:10" ht="135" x14ac:dyDescent="0.25">
      <c r="A1754" s="2" t="s">
        <v>122</v>
      </c>
      <c r="B1754" s="2" t="s">
        <v>4442</v>
      </c>
      <c r="C1754" s="2" t="s">
        <v>4443</v>
      </c>
      <c r="D1754" s="2" t="s">
        <v>4441</v>
      </c>
      <c r="E1754" s="2" t="s">
        <v>216</v>
      </c>
      <c r="F1754" s="3">
        <v>43191</v>
      </c>
      <c r="G1754" s="2" t="str">
        <f>"9781438469560"</f>
        <v>9781438469560</v>
      </c>
      <c r="H1754" s="2" t="s">
        <v>14</v>
      </c>
      <c r="I1754" s="4">
        <v>43668.636805555558</v>
      </c>
      <c r="J1754" s="2" t="s">
        <v>4444</v>
      </c>
    </row>
    <row r="1755" spans="1:10" ht="135" x14ac:dyDescent="0.25">
      <c r="A1755" s="2" t="s">
        <v>122</v>
      </c>
      <c r="B1755" s="2" t="s">
        <v>5181</v>
      </c>
      <c r="C1755" s="2" t="s">
        <v>123</v>
      </c>
      <c r="D1755" s="2" t="s">
        <v>6951</v>
      </c>
      <c r="E1755" s="2" t="s">
        <v>41</v>
      </c>
      <c r="F1755" s="3">
        <v>43025</v>
      </c>
      <c r="G1755" s="2" t="str">
        <f>"9780817391393"</f>
        <v>9780817391393</v>
      </c>
      <c r="H1755" s="2" t="s">
        <v>14</v>
      </c>
      <c r="I1755" s="4">
        <v>43473.469444444447</v>
      </c>
      <c r="J1755" s="2" t="s">
        <v>6952</v>
      </c>
    </row>
    <row r="1756" spans="1:10" ht="135" x14ac:dyDescent="0.25">
      <c r="A1756" s="2" t="s">
        <v>122</v>
      </c>
      <c r="B1756" s="2">
        <v>809.93359999999996</v>
      </c>
      <c r="C1756" s="2" t="s">
        <v>8963</v>
      </c>
      <c r="D1756" s="2" t="s">
        <v>8962</v>
      </c>
      <c r="E1756" s="2" t="s">
        <v>73</v>
      </c>
      <c r="F1756" s="3">
        <v>43070</v>
      </c>
      <c r="G1756" s="2" t="str">
        <f>"9781452955728"</f>
        <v>9781452955728</v>
      </c>
      <c r="H1756" s="2" t="s">
        <v>14</v>
      </c>
      <c r="I1756" s="4">
        <v>43233.840277777781</v>
      </c>
      <c r="J1756" s="2" t="s">
        <v>8964</v>
      </c>
    </row>
    <row r="1757" spans="1:10" ht="135" x14ac:dyDescent="0.25">
      <c r="A1757" s="2" t="s">
        <v>122</v>
      </c>
      <c r="B1757" s="2">
        <v>821.00809931000003</v>
      </c>
      <c r="C1757" s="2" t="s">
        <v>2622</v>
      </c>
      <c r="D1757" s="2" t="s">
        <v>2620</v>
      </c>
      <c r="E1757" s="2" t="s">
        <v>2621</v>
      </c>
      <c r="F1757" s="3">
        <v>41730</v>
      </c>
      <c r="G1757" s="2" t="str">
        <f>"9780864737410"</f>
        <v>9780864737410</v>
      </c>
      <c r="H1757" s="2" t="s">
        <v>14</v>
      </c>
      <c r="I1757" s="4">
        <v>43872.572916666664</v>
      </c>
      <c r="J1757" s="2" t="s">
        <v>2623</v>
      </c>
    </row>
    <row r="1758" spans="1:10" ht="135" x14ac:dyDescent="0.25">
      <c r="A1758" s="2" t="s">
        <v>122</v>
      </c>
      <c r="B1758" s="2">
        <v>820.09941509043995</v>
      </c>
      <c r="C1758" s="2" t="s">
        <v>5536</v>
      </c>
      <c r="D1758" s="2" t="s">
        <v>5535</v>
      </c>
      <c r="E1758" s="2" t="s">
        <v>101</v>
      </c>
      <c r="F1758" s="3">
        <v>43266</v>
      </c>
      <c r="G1758" s="2" t="str">
        <f>"9780810137271"</f>
        <v>9780810137271</v>
      </c>
      <c r="H1758" s="2" t="s">
        <v>14</v>
      </c>
      <c r="I1758" s="4">
        <v>43591.79791666667</v>
      </c>
      <c r="J1758" s="2" t="s">
        <v>5537</v>
      </c>
    </row>
    <row r="1759" spans="1:10" ht="135" x14ac:dyDescent="0.25">
      <c r="A1759" s="2" t="s">
        <v>122</v>
      </c>
      <c r="B1759" s="2">
        <v>843.91399999999999</v>
      </c>
      <c r="C1759" s="2" t="s">
        <v>6200</v>
      </c>
      <c r="D1759" s="2" t="s">
        <v>6199</v>
      </c>
      <c r="E1759" s="2" t="s">
        <v>674</v>
      </c>
      <c r="F1759" s="3">
        <v>42248</v>
      </c>
      <c r="G1759" s="2" t="str">
        <f>"9780823264612"</f>
        <v>9780823264612</v>
      </c>
      <c r="H1759" s="2" t="s">
        <v>14</v>
      </c>
      <c r="I1759" s="4">
        <v>43533.715277777781</v>
      </c>
      <c r="J1759" s="2" t="s">
        <v>6201</v>
      </c>
    </row>
    <row r="1760" spans="1:10" ht="135" x14ac:dyDescent="0.25">
      <c r="A1760" s="2" t="s">
        <v>122</v>
      </c>
      <c r="B1760" s="2" t="s">
        <v>3262</v>
      </c>
      <c r="C1760" s="2" t="s">
        <v>3263</v>
      </c>
      <c r="D1760" s="2" t="s">
        <v>3261</v>
      </c>
      <c r="E1760" s="2" t="s">
        <v>69</v>
      </c>
      <c r="F1760" s="3">
        <v>43665</v>
      </c>
      <c r="G1760" s="2" t="str">
        <f>"9780253042347"</f>
        <v>9780253042347</v>
      </c>
      <c r="H1760" s="2" t="s">
        <v>14</v>
      </c>
      <c r="I1760" s="4">
        <v>43795.444444444445</v>
      </c>
      <c r="J1760" s="2" t="s">
        <v>3264</v>
      </c>
    </row>
    <row r="1761" spans="1:10" ht="135" x14ac:dyDescent="0.25">
      <c r="A1761" s="2" t="s">
        <v>122</v>
      </c>
      <c r="B1761" s="2">
        <v>821.3</v>
      </c>
      <c r="C1761" s="2" t="s">
        <v>619</v>
      </c>
      <c r="D1761" s="2" t="s">
        <v>10891</v>
      </c>
      <c r="E1761" s="2" t="s">
        <v>618</v>
      </c>
      <c r="F1761" s="3">
        <v>39352</v>
      </c>
      <c r="G1761" s="2" t="str">
        <f>"9780230607491"</f>
        <v>9780230607491</v>
      </c>
      <c r="H1761" s="2" t="s">
        <v>14</v>
      </c>
      <c r="I1761" s="4">
        <v>43030.795138888891</v>
      </c>
      <c r="J1761" s="2" t="s">
        <v>10892</v>
      </c>
    </row>
    <row r="1762" spans="1:10" ht="135" x14ac:dyDescent="0.25">
      <c r="A1762" s="2" t="s">
        <v>122</v>
      </c>
      <c r="C1762" s="2" t="s">
        <v>123</v>
      </c>
      <c r="D1762" s="2" t="s">
        <v>530</v>
      </c>
      <c r="E1762" s="2" t="s">
        <v>531</v>
      </c>
      <c r="F1762" s="3">
        <v>43843</v>
      </c>
      <c r="G1762" s="2" t="str">
        <f>"9780809337583"</f>
        <v>9780809337583</v>
      </c>
      <c r="H1762" s="2" t="s">
        <v>14</v>
      </c>
      <c r="I1762" s="4">
        <v>44015.788888888892</v>
      </c>
      <c r="J1762" s="2" t="s">
        <v>532</v>
      </c>
    </row>
    <row r="1763" spans="1:10" ht="135" x14ac:dyDescent="0.25">
      <c r="A1763" s="2" t="s">
        <v>122</v>
      </c>
      <c r="B1763" s="2">
        <v>823.91200000000003</v>
      </c>
      <c r="C1763" s="2" t="s">
        <v>11631</v>
      </c>
      <c r="D1763" s="2" t="s">
        <v>11630</v>
      </c>
      <c r="E1763" s="2" t="s">
        <v>4660</v>
      </c>
      <c r="F1763" s="3">
        <v>36468</v>
      </c>
      <c r="G1763" s="2" t="str">
        <f>"9780813149752"</f>
        <v>9780813149752</v>
      </c>
      <c r="H1763" s="2" t="s">
        <v>14</v>
      </c>
      <c r="I1763" s="4">
        <v>42917.466666666667</v>
      </c>
      <c r="J1763" s="2" t="s">
        <v>11632</v>
      </c>
    </row>
    <row r="1764" spans="1:10" ht="150" x14ac:dyDescent="0.25">
      <c r="A1764" s="2" t="s">
        <v>122</v>
      </c>
      <c r="B1764" s="2">
        <v>860.90030000000002</v>
      </c>
      <c r="C1764" s="2" t="s">
        <v>9461</v>
      </c>
      <c r="D1764" s="2" t="s">
        <v>9460</v>
      </c>
      <c r="E1764" s="2" t="s">
        <v>65</v>
      </c>
      <c r="F1764" s="3">
        <v>42506</v>
      </c>
      <c r="G1764" s="2" t="str">
        <f>"9780806155227"</f>
        <v>9780806155227</v>
      </c>
      <c r="H1764" s="2" t="s">
        <v>14</v>
      </c>
      <c r="I1764" s="4">
        <v>43165.625</v>
      </c>
      <c r="J1764" s="2" t="s">
        <v>9462</v>
      </c>
    </row>
    <row r="1765" spans="1:10" ht="135" x14ac:dyDescent="0.25">
      <c r="A1765" s="2" t="s">
        <v>122</v>
      </c>
      <c r="B1765" s="2">
        <v>860.99671809050005</v>
      </c>
      <c r="C1765" s="2" t="s">
        <v>2256</v>
      </c>
      <c r="D1765" s="2" t="s">
        <v>2255</v>
      </c>
      <c r="E1765" s="2" t="s">
        <v>622</v>
      </c>
      <c r="F1765" s="3">
        <v>42855</v>
      </c>
      <c r="G1765" s="2" t="str">
        <f>"9780826273871"</f>
        <v>9780826273871</v>
      </c>
      <c r="H1765" s="2" t="s">
        <v>14</v>
      </c>
      <c r="I1765" s="4">
        <v>43897.525694444441</v>
      </c>
      <c r="J1765" s="2" t="s">
        <v>2257</v>
      </c>
    </row>
    <row r="1766" spans="1:10" ht="135" x14ac:dyDescent="0.25">
      <c r="A1766" s="2" t="s">
        <v>122</v>
      </c>
      <c r="B1766" s="2">
        <v>832.91200000000003</v>
      </c>
      <c r="C1766" s="2" t="s">
        <v>9495</v>
      </c>
      <c r="D1766" s="2" t="s">
        <v>9494</v>
      </c>
      <c r="E1766" s="2" t="s">
        <v>8718</v>
      </c>
      <c r="F1766" s="3">
        <v>41557</v>
      </c>
      <c r="G1766" s="2" t="str">
        <f>"9781611476361"</f>
        <v>9781611476361</v>
      </c>
      <c r="H1766" s="2" t="s">
        <v>14</v>
      </c>
      <c r="I1766" s="4">
        <v>43161.788194444445</v>
      </c>
      <c r="J1766" s="2" t="s">
        <v>9496</v>
      </c>
    </row>
    <row r="1767" spans="1:10" ht="135" x14ac:dyDescent="0.25">
      <c r="A1767" s="2" t="s">
        <v>122</v>
      </c>
      <c r="B1767" s="2">
        <v>812.52</v>
      </c>
      <c r="C1767" s="2" t="s">
        <v>7713</v>
      </c>
      <c r="D1767" s="2" t="s">
        <v>7712</v>
      </c>
      <c r="E1767" s="2" t="s">
        <v>41</v>
      </c>
      <c r="F1767" s="3">
        <v>42717</v>
      </c>
      <c r="G1767" s="2" t="str">
        <f>"9780817390648"</f>
        <v>9780817390648</v>
      </c>
      <c r="H1767" s="2" t="s">
        <v>14</v>
      </c>
      <c r="I1767" s="4">
        <v>43398.152777777781</v>
      </c>
      <c r="J1767" s="2" t="s">
        <v>7714</v>
      </c>
    </row>
    <row r="1768" spans="1:10" ht="150" x14ac:dyDescent="0.25">
      <c r="A1768" s="2" t="s">
        <v>122</v>
      </c>
      <c r="B1768" s="2">
        <v>823.80938200000003</v>
      </c>
      <c r="C1768" s="2" t="s">
        <v>1345</v>
      </c>
      <c r="D1768" s="2" t="s">
        <v>1344</v>
      </c>
      <c r="E1768" s="2" t="s">
        <v>28</v>
      </c>
      <c r="F1768" s="3">
        <v>43791</v>
      </c>
      <c r="G1768" s="2" t="str">
        <f>"9780813943411"</f>
        <v>9780813943411</v>
      </c>
      <c r="H1768" s="2" t="s">
        <v>14</v>
      </c>
      <c r="I1768" s="4">
        <v>43948.317361111112</v>
      </c>
      <c r="J1768" s="2" t="s">
        <v>1346</v>
      </c>
    </row>
    <row r="1769" spans="1:10" ht="135" x14ac:dyDescent="0.25">
      <c r="A1769" s="2" t="s">
        <v>122</v>
      </c>
      <c r="B1769" s="2" t="s">
        <v>2640</v>
      </c>
      <c r="C1769" s="2" t="s">
        <v>2641</v>
      </c>
      <c r="D1769" s="2" t="s">
        <v>2639</v>
      </c>
      <c r="E1769" s="2" t="s">
        <v>41</v>
      </c>
      <c r="F1769" s="3">
        <v>42969</v>
      </c>
      <c r="G1769" s="2" t="str">
        <f>"9780817391492"</f>
        <v>9780817391492</v>
      </c>
      <c r="H1769" s="2" t="s">
        <v>14</v>
      </c>
      <c r="I1769" s="4">
        <v>43871.646527777775</v>
      </c>
      <c r="J1769" s="2" t="s">
        <v>2642</v>
      </c>
    </row>
    <row r="1770" spans="1:10" ht="135" x14ac:dyDescent="0.25">
      <c r="A1770" s="2" t="s">
        <v>122</v>
      </c>
      <c r="B1770" s="2">
        <v>895.10933550000004</v>
      </c>
      <c r="C1770" s="2" t="s">
        <v>1144</v>
      </c>
      <c r="D1770" s="2" t="s">
        <v>10354</v>
      </c>
      <c r="E1770" s="2" t="s">
        <v>856</v>
      </c>
      <c r="F1770" s="3">
        <v>41700</v>
      </c>
      <c r="G1770" s="2" t="str">
        <f>"9780295804989"</f>
        <v>9780295804989</v>
      </c>
      <c r="H1770" s="2" t="s">
        <v>14</v>
      </c>
      <c r="I1770" s="4">
        <v>43065.859722222223</v>
      </c>
      <c r="J1770" s="2" t="s">
        <v>10355</v>
      </c>
    </row>
    <row r="1771" spans="1:10" ht="135" x14ac:dyDescent="0.25">
      <c r="A1771" s="2" t="s">
        <v>122</v>
      </c>
      <c r="B1771" s="2" t="s">
        <v>12670</v>
      </c>
      <c r="C1771" s="2" t="s">
        <v>12671</v>
      </c>
      <c r="D1771" s="2" t="s">
        <v>12669</v>
      </c>
      <c r="E1771" s="2" t="s">
        <v>4660</v>
      </c>
      <c r="F1771" s="3">
        <v>35012</v>
      </c>
      <c r="G1771" s="2" t="str">
        <f>"9780813158952"</f>
        <v>9780813158952</v>
      </c>
      <c r="H1771" s="2" t="s">
        <v>14</v>
      </c>
      <c r="I1771" s="4">
        <v>42784.631944444445</v>
      </c>
      <c r="J1771" s="2" t="s">
        <v>12672</v>
      </c>
    </row>
    <row r="1772" spans="1:10" ht="135" x14ac:dyDescent="0.25">
      <c r="A1772" s="2" t="s">
        <v>122</v>
      </c>
      <c r="B1772" s="2" t="s">
        <v>5214</v>
      </c>
      <c r="C1772" s="2" t="s">
        <v>9715</v>
      </c>
      <c r="D1772" s="2" t="s">
        <v>9714</v>
      </c>
      <c r="E1772" s="2" t="s">
        <v>73</v>
      </c>
      <c r="F1772" s="3">
        <v>41760</v>
      </c>
      <c r="G1772" s="2" t="str">
        <f>"9780816687510"</f>
        <v>9780816687510</v>
      </c>
      <c r="H1772" s="2" t="s">
        <v>14</v>
      </c>
      <c r="I1772" s="4">
        <v>43133.936805555553</v>
      </c>
      <c r="J1772" s="2" t="s">
        <v>9716</v>
      </c>
    </row>
    <row r="1773" spans="1:10" ht="135" x14ac:dyDescent="0.25">
      <c r="A1773" s="2" t="s">
        <v>122</v>
      </c>
      <c r="B1773" s="2">
        <v>809.93350999999996</v>
      </c>
      <c r="C1773" s="2" t="s">
        <v>9578</v>
      </c>
      <c r="D1773" s="2" t="s">
        <v>9577</v>
      </c>
      <c r="E1773" s="2" t="s">
        <v>723</v>
      </c>
      <c r="F1773" s="3">
        <v>42658</v>
      </c>
      <c r="G1773" s="2" t="str">
        <f>"9781612494722"</f>
        <v>9781612494722</v>
      </c>
      <c r="H1773" s="2" t="s">
        <v>14</v>
      </c>
      <c r="I1773" s="4">
        <v>43150.468055555553</v>
      </c>
      <c r="J1773" s="2" t="s">
        <v>9579</v>
      </c>
    </row>
    <row r="1774" spans="1:10" ht="135" x14ac:dyDescent="0.25">
      <c r="A1774" s="2" t="s">
        <v>122</v>
      </c>
      <c r="B1774" s="2">
        <v>809.89409030000002</v>
      </c>
      <c r="C1774" s="2" t="s">
        <v>5111</v>
      </c>
      <c r="D1774" s="2" t="s">
        <v>5110</v>
      </c>
      <c r="E1774" s="2" t="s">
        <v>101</v>
      </c>
      <c r="F1774" s="3">
        <v>43511</v>
      </c>
      <c r="G1774" s="2" t="str">
        <f>"9780810139206"</f>
        <v>9780810139206</v>
      </c>
      <c r="H1774" s="2" t="s">
        <v>14</v>
      </c>
      <c r="I1774" s="4">
        <v>43610.817361111112</v>
      </c>
      <c r="J1774" s="2" t="s">
        <v>5112</v>
      </c>
    </row>
    <row r="1775" spans="1:10" ht="135" x14ac:dyDescent="0.25">
      <c r="A1775" s="2" t="s">
        <v>122</v>
      </c>
      <c r="B1775" s="2" t="s">
        <v>3224</v>
      </c>
      <c r="C1775" s="2" t="s">
        <v>3225</v>
      </c>
      <c r="D1775" s="2" t="s">
        <v>3223</v>
      </c>
      <c r="E1775" s="2" t="s">
        <v>216</v>
      </c>
      <c r="F1775" s="3">
        <v>43678</v>
      </c>
      <c r="G1775" s="2" t="str">
        <f>"9781438476070"</f>
        <v>9781438476070</v>
      </c>
      <c r="H1775" s="2" t="s">
        <v>14</v>
      </c>
      <c r="I1775" s="4">
        <v>43797.548611111109</v>
      </c>
      <c r="J1775" s="2" t="s">
        <v>3226</v>
      </c>
    </row>
    <row r="1776" spans="1:10" ht="135" x14ac:dyDescent="0.25">
      <c r="A1776" s="2" t="s">
        <v>122</v>
      </c>
      <c r="B1776" s="2">
        <v>809.10400000000004</v>
      </c>
      <c r="C1776" s="2" t="s">
        <v>946</v>
      </c>
      <c r="D1776" s="2" t="s">
        <v>945</v>
      </c>
      <c r="E1776" s="2" t="s">
        <v>216</v>
      </c>
      <c r="F1776" s="3">
        <v>43132</v>
      </c>
      <c r="G1776" s="2" t="str">
        <f>"9781438468341"</f>
        <v>9781438468341</v>
      </c>
      <c r="H1776" s="2" t="s">
        <v>14</v>
      </c>
      <c r="I1776" s="4">
        <v>43973.728472222225</v>
      </c>
      <c r="J1776" s="2" t="s">
        <v>947</v>
      </c>
    </row>
    <row r="1777" spans="1:10" ht="135" x14ac:dyDescent="0.25">
      <c r="A1777" s="2" t="s">
        <v>122</v>
      </c>
      <c r="B1777" s="2" t="s">
        <v>4738</v>
      </c>
      <c r="C1777" s="2" t="s">
        <v>4739</v>
      </c>
      <c r="D1777" s="2" t="s">
        <v>4737</v>
      </c>
      <c r="E1777" s="2" t="s">
        <v>216</v>
      </c>
      <c r="F1777" s="3">
        <v>43313</v>
      </c>
      <c r="G1777" s="2" t="str">
        <f>"9781438470474"</f>
        <v>9781438470474</v>
      </c>
      <c r="H1777" s="2" t="s">
        <v>14</v>
      </c>
      <c r="I1777" s="4">
        <v>43633.393055555556</v>
      </c>
      <c r="J1777" s="2" t="s">
        <v>4740</v>
      </c>
    </row>
    <row r="1778" spans="1:10" ht="135" x14ac:dyDescent="0.25">
      <c r="A1778" s="2" t="s">
        <v>122</v>
      </c>
      <c r="B1778" s="2">
        <v>811.54</v>
      </c>
      <c r="C1778" s="2" t="s">
        <v>9248</v>
      </c>
      <c r="D1778" s="2" t="s">
        <v>9247</v>
      </c>
      <c r="E1778" s="2" t="s">
        <v>73</v>
      </c>
      <c r="F1778" s="3">
        <v>42808</v>
      </c>
      <c r="G1778" s="2" t="str">
        <f>"9781452949963"</f>
        <v>9781452949963</v>
      </c>
      <c r="H1778" s="2" t="s">
        <v>14</v>
      </c>
      <c r="I1778" s="4">
        <v>43195.422222222223</v>
      </c>
      <c r="J1778" s="2" t="s">
        <v>9249</v>
      </c>
    </row>
    <row r="1779" spans="1:10" ht="135" x14ac:dyDescent="0.25">
      <c r="A1779" s="2" t="s">
        <v>122</v>
      </c>
      <c r="B1779" s="2" t="s">
        <v>2892</v>
      </c>
      <c r="C1779" s="2" t="s">
        <v>6791</v>
      </c>
      <c r="D1779" s="2" t="s">
        <v>6790</v>
      </c>
      <c r="E1779" s="2" t="s">
        <v>390</v>
      </c>
      <c r="F1779" s="3">
        <v>43189</v>
      </c>
      <c r="G1779" s="2" t="str">
        <f>"9780268103118"</f>
        <v>9780268103118</v>
      </c>
      <c r="H1779" s="2" t="s">
        <v>14</v>
      </c>
      <c r="I1779" s="4">
        <v>43486.476388888892</v>
      </c>
      <c r="J1779" s="2" t="s">
        <v>6792</v>
      </c>
    </row>
    <row r="1780" spans="1:10" ht="135" x14ac:dyDescent="0.25">
      <c r="A1780" s="2" t="s">
        <v>122</v>
      </c>
      <c r="B1780" s="2" t="s">
        <v>9969</v>
      </c>
      <c r="C1780" s="2" t="s">
        <v>9970</v>
      </c>
      <c r="D1780" s="2" t="s">
        <v>9968</v>
      </c>
      <c r="E1780" s="2" t="s">
        <v>216</v>
      </c>
      <c r="F1780" s="3">
        <v>42309</v>
      </c>
      <c r="G1780" s="2" t="str">
        <f>"9781438458489"</f>
        <v>9781438458489</v>
      </c>
      <c r="H1780" s="2" t="s">
        <v>14</v>
      </c>
      <c r="I1780" s="4">
        <v>43115.581250000003</v>
      </c>
      <c r="J1780" s="2" t="s">
        <v>9971</v>
      </c>
    </row>
    <row r="1781" spans="1:10" ht="135" x14ac:dyDescent="0.25">
      <c r="A1781" s="2" t="s">
        <v>122</v>
      </c>
      <c r="B1781" s="2">
        <v>809.3</v>
      </c>
      <c r="C1781" s="2" t="s">
        <v>2250</v>
      </c>
      <c r="D1781" s="2" t="s">
        <v>2249</v>
      </c>
      <c r="E1781" s="2" t="s">
        <v>136</v>
      </c>
      <c r="F1781" s="3">
        <v>43009</v>
      </c>
      <c r="G1781" s="2" t="str">
        <f>"9781609385156"</f>
        <v>9781609385156</v>
      </c>
      <c r="H1781" s="2" t="s">
        <v>14</v>
      </c>
      <c r="I1781" s="4">
        <v>43897.685416666667</v>
      </c>
      <c r="J1781" s="2" t="s">
        <v>2251</v>
      </c>
    </row>
    <row r="1782" spans="1:10" ht="135" x14ac:dyDescent="0.25">
      <c r="A1782" s="2" t="s">
        <v>122</v>
      </c>
      <c r="B1782" s="2">
        <v>844.91</v>
      </c>
      <c r="C1782" s="2" t="s">
        <v>995</v>
      </c>
      <c r="D1782" s="2" t="s">
        <v>994</v>
      </c>
      <c r="E1782" s="2" t="s">
        <v>11</v>
      </c>
      <c r="F1782" s="3">
        <v>42391</v>
      </c>
      <c r="G1782" s="2" t="str">
        <f>"9780813227900"</f>
        <v>9780813227900</v>
      </c>
      <c r="H1782" s="2" t="s">
        <v>14</v>
      </c>
      <c r="I1782" s="4">
        <v>43970.15625</v>
      </c>
      <c r="J1782" s="2" t="s">
        <v>996</v>
      </c>
    </row>
    <row r="1783" spans="1:10" ht="135" x14ac:dyDescent="0.25">
      <c r="A1783" s="2" t="s">
        <v>122</v>
      </c>
      <c r="B1783" s="2">
        <v>841.10803510000005</v>
      </c>
      <c r="C1783" s="2" t="s">
        <v>1917</v>
      </c>
      <c r="D1783" s="2" t="s">
        <v>1916</v>
      </c>
      <c r="E1783" s="2" t="s">
        <v>1129</v>
      </c>
      <c r="F1783" s="3">
        <v>39222</v>
      </c>
      <c r="G1783" s="2" t="str">
        <f>"9781846155437"</f>
        <v>9781846155437</v>
      </c>
      <c r="H1783" s="2" t="s">
        <v>14</v>
      </c>
      <c r="I1783" s="4">
        <v>43921.475694444445</v>
      </c>
      <c r="J1783" s="2" t="s">
        <v>1918</v>
      </c>
    </row>
    <row r="1784" spans="1:10" ht="135" x14ac:dyDescent="0.25">
      <c r="A1784" s="2" t="s">
        <v>122</v>
      </c>
      <c r="B1784" s="2" t="s">
        <v>8001</v>
      </c>
      <c r="C1784" s="2" t="s">
        <v>8002</v>
      </c>
      <c r="D1784" s="2" t="s">
        <v>8000</v>
      </c>
      <c r="E1784" s="2" t="s">
        <v>136</v>
      </c>
      <c r="F1784" s="3">
        <v>42139</v>
      </c>
      <c r="G1784" s="2" t="str">
        <f>"9781609383121"</f>
        <v>9781609383121</v>
      </c>
      <c r="H1784" s="2" t="s">
        <v>14</v>
      </c>
      <c r="I1784" s="4">
        <v>43365.643055555556</v>
      </c>
      <c r="J1784" s="2" t="s">
        <v>8003</v>
      </c>
    </row>
    <row r="1785" spans="1:10" ht="165" x14ac:dyDescent="0.25">
      <c r="A1785" s="2" t="s">
        <v>122</v>
      </c>
      <c r="B1785" s="2" t="s">
        <v>7858</v>
      </c>
      <c r="C1785" s="2" t="s">
        <v>7859</v>
      </c>
      <c r="D1785" s="2" t="s">
        <v>7857</v>
      </c>
      <c r="E1785" s="2" t="s">
        <v>136</v>
      </c>
      <c r="F1785" s="3">
        <v>42887</v>
      </c>
      <c r="G1785" s="2" t="str">
        <f>"9781609384975"</f>
        <v>9781609384975</v>
      </c>
      <c r="H1785" s="2" t="s">
        <v>14</v>
      </c>
      <c r="I1785" s="4">
        <v>43383.479166666664</v>
      </c>
      <c r="J1785" s="2" t="s">
        <v>7860</v>
      </c>
    </row>
    <row r="1786" spans="1:10" ht="135" x14ac:dyDescent="0.25">
      <c r="A1786" s="2" t="s">
        <v>122</v>
      </c>
      <c r="B1786" s="2">
        <v>809.39354800000001</v>
      </c>
      <c r="C1786" s="2" t="s">
        <v>1149</v>
      </c>
      <c r="D1786" s="2" t="s">
        <v>1148</v>
      </c>
      <c r="E1786" s="2" t="s">
        <v>11</v>
      </c>
      <c r="F1786" s="3">
        <v>43474</v>
      </c>
      <c r="G1786" s="2" t="str">
        <f>"9780813231280"</f>
        <v>9780813231280</v>
      </c>
      <c r="H1786" s="2" t="s">
        <v>14</v>
      </c>
      <c r="I1786" s="4">
        <v>43959.684027777781</v>
      </c>
      <c r="J1786" s="2" t="s">
        <v>1150</v>
      </c>
    </row>
    <row r="1787" spans="1:10" ht="135" x14ac:dyDescent="0.25">
      <c r="A1787" s="2" t="s">
        <v>122</v>
      </c>
      <c r="B1787" s="2">
        <v>810.93640000000005</v>
      </c>
      <c r="C1787" s="2" t="s">
        <v>4415</v>
      </c>
      <c r="D1787" s="2" t="s">
        <v>4414</v>
      </c>
      <c r="E1787" s="2" t="s">
        <v>322</v>
      </c>
      <c r="F1787" s="3">
        <v>43313</v>
      </c>
      <c r="G1787" s="2" t="str">
        <f>"9780820353180"</f>
        <v>9780820353180</v>
      </c>
      <c r="H1787" s="2" t="s">
        <v>14</v>
      </c>
      <c r="I1787" s="4">
        <v>43670.681250000001</v>
      </c>
      <c r="J1787" s="2" t="s">
        <v>4416</v>
      </c>
    </row>
    <row r="1788" spans="1:10" ht="135" x14ac:dyDescent="0.25">
      <c r="A1788" s="2" t="s">
        <v>122</v>
      </c>
      <c r="B1788" s="2" t="s">
        <v>5181</v>
      </c>
      <c r="C1788" s="2" t="s">
        <v>123</v>
      </c>
      <c r="D1788" s="2" t="s">
        <v>5180</v>
      </c>
      <c r="E1788" s="2" t="s">
        <v>41</v>
      </c>
      <c r="F1788" s="3">
        <v>43312</v>
      </c>
      <c r="G1788" s="2" t="str">
        <f>"9780817391867"</f>
        <v>9780817391867</v>
      </c>
      <c r="H1788" s="2" t="s">
        <v>14</v>
      </c>
      <c r="I1788" s="4">
        <v>43608.925694444442</v>
      </c>
      <c r="J1788" s="2" t="s">
        <v>5182</v>
      </c>
    </row>
    <row r="1789" spans="1:10" ht="135" x14ac:dyDescent="0.25">
      <c r="A1789" s="2" t="s">
        <v>122</v>
      </c>
      <c r="B1789" s="2">
        <v>863.08109000000002</v>
      </c>
      <c r="C1789" s="2" t="s">
        <v>9163</v>
      </c>
      <c r="D1789" s="2" t="s">
        <v>9162</v>
      </c>
      <c r="E1789" s="2" t="s">
        <v>723</v>
      </c>
      <c r="F1789" s="3">
        <v>41774</v>
      </c>
      <c r="G1789" s="2" t="str">
        <f>"9781612493237"</f>
        <v>9781612493237</v>
      </c>
      <c r="H1789" s="2" t="s">
        <v>14</v>
      </c>
      <c r="I1789" s="4">
        <v>43206.563194444447</v>
      </c>
      <c r="J1789" s="2" t="s">
        <v>9164</v>
      </c>
    </row>
    <row r="1790" spans="1:10" ht="135" x14ac:dyDescent="0.25">
      <c r="A1790" s="2" t="s">
        <v>122</v>
      </c>
      <c r="B1790" s="2">
        <v>809</v>
      </c>
      <c r="C1790" s="2" t="s">
        <v>5918</v>
      </c>
      <c r="D1790" s="2" t="s">
        <v>5917</v>
      </c>
      <c r="E1790" s="2" t="s">
        <v>28</v>
      </c>
      <c r="F1790" s="3">
        <v>43049</v>
      </c>
      <c r="G1790" s="2" t="str">
        <f>"9780813940120"</f>
        <v>9780813940120</v>
      </c>
      <c r="H1790" s="2" t="s">
        <v>14</v>
      </c>
      <c r="I1790" s="4">
        <v>43558.488888888889</v>
      </c>
      <c r="J1790" s="2" t="s">
        <v>5919</v>
      </c>
    </row>
    <row r="1791" spans="1:10" ht="135" x14ac:dyDescent="0.25">
      <c r="A1791" s="2" t="s">
        <v>122</v>
      </c>
      <c r="B1791" s="2">
        <v>821</v>
      </c>
      <c r="C1791" s="2" t="s">
        <v>10873</v>
      </c>
      <c r="D1791" s="2" t="s">
        <v>10872</v>
      </c>
      <c r="E1791" s="2" t="s">
        <v>80</v>
      </c>
      <c r="F1791" s="3">
        <v>42468</v>
      </c>
      <c r="G1791" s="2" t="str">
        <f>"9783653057218"</f>
        <v>9783653057218</v>
      </c>
      <c r="H1791" s="2" t="s">
        <v>14</v>
      </c>
      <c r="I1791" s="4">
        <v>43030.893055555556</v>
      </c>
      <c r="J1791" s="2" t="s">
        <v>10874</v>
      </c>
    </row>
    <row r="1792" spans="1:10" ht="135" x14ac:dyDescent="0.25">
      <c r="A1792" s="2" t="s">
        <v>122</v>
      </c>
      <c r="B1792" s="2" t="s">
        <v>9833</v>
      </c>
      <c r="C1792" s="2" t="s">
        <v>9834</v>
      </c>
      <c r="D1792" s="2" t="s">
        <v>9832</v>
      </c>
      <c r="E1792" s="2" t="s">
        <v>2560</v>
      </c>
      <c r="F1792" s="3">
        <v>38353</v>
      </c>
      <c r="G1792" s="2" t="str">
        <f>"9780826591845"</f>
        <v>9780826591845</v>
      </c>
      <c r="H1792" s="2" t="s">
        <v>14</v>
      </c>
      <c r="I1792" s="4">
        <v>43125.65625</v>
      </c>
      <c r="J1792" s="2" t="s">
        <v>9835</v>
      </c>
    </row>
    <row r="1793" spans="1:10" ht="135" x14ac:dyDescent="0.25">
      <c r="A1793" s="2" t="s">
        <v>122</v>
      </c>
      <c r="B1793" s="2" t="s">
        <v>9833</v>
      </c>
      <c r="C1793" s="2" t="s">
        <v>3128</v>
      </c>
      <c r="D1793" s="2" t="s">
        <v>10135</v>
      </c>
      <c r="E1793" s="2" t="s">
        <v>41</v>
      </c>
      <c r="F1793" s="3">
        <v>41973</v>
      </c>
      <c r="G1793" s="2" t="str">
        <f>"9780817387945"</f>
        <v>9780817387945</v>
      </c>
      <c r="H1793" s="2" t="s">
        <v>14</v>
      </c>
      <c r="I1793" s="4">
        <v>43095.48333333333</v>
      </c>
      <c r="J1793" s="2" t="s">
        <v>10136</v>
      </c>
    </row>
    <row r="1794" spans="1:10" ht="135" x14ac:dyDescent="0.25">
      <c r="A1794" s="2" t="s">
        <v>122</v>
      </c>
      <c r="B1794" s="2" t="s">
        <v>3441</v>
      </c>
      <c r="C1794" s="2" t="s">
        <v>3442</v>
      </c>
      <c r="D1794" s="2" t="s">
        <v>3440</v>
      </c>
      <c r="E1794" s="2" t="s">
        <v>80</v>
      </c>
      <c r="F1794" s="3">
        <v>42587</v>
      </c>
      <c r="G1794" s="2" t="str">
        <f>"9783653059625"</f>
        <v>9783653059625</v>
      </c>
      <c r="H1794" s="2" t="s">
        <v>14</v>
      </c>
      <c r="I1794" s="4">
        <v>43782.738888888889</v>
      </c>
      <c r="J1794" s="2" t="s">
        <v>3443</v>
      </c>
    </row>
    <row r="1795" spans="1:10" ht="135" x14ac:dyDescent="0.25">
      <c r="A1795" s="2" t="s">
        <v>122</v>
      </c>
      <c r="B1795" s="2">
        <v>820.80079999999896</v>
      </c>
      <c r="C1795" s="2" t="s">
        <v>1598</v>
      </c>
      <c r="D1795" s="2" t="s">
        <v>1597</v>
      </c>
      <c r="E1795" s="2" t="s">
        <v>705</v>
      </c>
      <c r="F1795" s="3">
        <v>42724</v>
      </c>
      <c r="G1795" s="2" t="str">
        <f>"9781400883738"</f>
        <v>9781400883738</v>
      </c>
      <c r="H1795" s="2" t="s">
        <v>14</v>
      </c>
      <c r="I1795" s="4">
        <v>43936.31527777778</v>
      </c>
      <c r="J1795" s="2" t="s">
        <v>1599</v>
      </c>
    </row>
    <row r="1796" spans="1:10" ht="135" x14ac:dyDescent="0.25">
      <c r="A1796" s="2" t="s">
        <v>122</v>
      </c>
      <c r="B1796" s="2">
        <v>823.91200000000003</v>
      </c>
      <c r="C1796" s="2" t="s">
        <v>11583</v>
      </c>
      <c r="D1796" s="2" t="s">
        <v>11582</v>
      </c>
      <c r="E1796" s="2" t="s">
        <v>4660</v>
      </c>
      <c r="F1796" s="3">
        <v>40127</v>
      </c>
      <c r="G1796" s="2" t="str">
        <f>"9780813150536"</f>
        <v>9780813150536</v>
      </c>
      <c r="H1796" s="2" t="s">
        <v>14</v>
      </c>
      <c r="I1796" s="4">
        <v>42925.798611111109</v>
      </c>
      <c r="J1796" s="2" t="s">
        <v>11584</v>
      </c>
    </row>
    <row r="1797" spans="1:10" ht="135" x14ac:dyDescent="0.25">
      <c r="A1797" s="2" t="s">
        <v>122</v>
      </c>
      <c r="B1797" s="2" t="s">
        <v>6078</v>
      </c>
      <c r="C1797" s="2" t="s">
        <v>6079</v>
      </c>
      <c r="D1797" s="2" t="s">
        <v>6077</v>
      </c>
      <c r="E1797" s="2" t="s">
        <v>578</v>
      </c>
      <c r="F1797" s="3">
        <v>42219</v>
      </c>
      <c r="G1797" s="2" t="str">
        <f>"9780252097584"</f>
        <v>9780252097584</v>
      </c>
      <c r="H1797" s="2" t="s">
        <v>14</v>
      </c>
      <c r="I1797" s="4">
        <v>43542.806250000001</v>
      </c>
      <c r="J1797" s="2" t="s">
        <v>6080</v>
      </c>
    </row>
    <row r="1798" spans="1:10" ht="135" x14ac:dyDescent="0.25">
      <c r="A1798" s="2" t="s">
        <v>122</v>
      </c>
      <c r="B1798" s="2">
        <v>831.91208035800003</v>
      </c>
      <c r="C1798" s="2" t="s">
        <v>2188</v>
      </c>
      <c r="D1798" s="2" t="s">
        <v>2187</v>
      </c>
      <c r="E1798" s="2" t="s">
        <v>69</v>
      </c>
      <c r="F1798" s="3">
        <v>43705</v>
      </c>
      <c r="G1798" s="2" t="str">
        <f>"9780253043542"</f>
        <v>9780253043542</v>
      </c>
      <c r="H1798" s="2" t="s">
        <v>14</v>
      </c>
      <c r="I1798" s="4">
        <v>43903.695833333331</v>
      </c>
      <c r="J1798" s="2" t="s">
        <v>2189</v>
      </c>
    </row>
    <row r="1799" spans="1:10" ht="135" x14ac:dyDescent="0.25">
      <c r="A1799" s="2" t="s">
        <v>122</v>
      </c>
      <c r="B1799" s="2">
        <v>808.03599999999994</v>
      </c>
      <c r="C1799" s="2" t="s">
        <v>3089</v>
      </c>
      <c r="D1799" s="2" t="s">
        <v>3088</v>
      </c>
      <c r="E1799" s="2" t="s">
        <v>46</v>
      </c>
      <c r="F1799" s="3">
        <v>43800</v>
      </c>
      <c r="G1799" s="2" t="str">
        <f>"9781496218537"</f>
        <v>9781496218537</v>
      </c>
      <c r="H1799" s="2" t="s">
        <v>14</v>
      </c>
      <c r="I1799" s="4">
        <v>43814.831944444442</v>
      </c>
      <c r="J1799" s="2" t="s">
        <v>3090</v>
      </c>
    </row>
    <row r="1800" spans="1:10" ht="135" x14ac:dyDescent="0.25">
      <c r="A1800" s="2" t="s">
        <v>122</v>
      </c>
      <c r="B1800" s="2" t="s">
        <v>9444</v>
      </c>
      <c r="C1800" s="2" t="s">
        <v>9445</v>
      </c>
      <c r="D1800" s="2" t="s">
        <v>9443</v>
      </c>
      <c r="E1800" s="2" t="s">
        <v>69</v>
      </c>
      <c r="F1800" s="3">
        <v>42460</v>
      </c>
      <c r="G1800" s="2" t="str">
        <f>"9780253020529"</f>
        <v>9780253020529</v>
      </c>
      <c r="H1800" s="2" t="s">
        <v>14</v>
      </c>
      <c r="I1800" s="4">
        <v>43167.438194444447</v>
      </c>
      <c r="J1800" s="2" t="s">
        <v>9446</v>
      </c>
    </row>
    <row r="1801" spans="1:10" ht="150" x14ac:dyDescent="0.25">
      <c r="A1801" s="2" t="s">
        <v>122</v>
      </c>
      <c r="B1801" s="2">
        <v>840.9</v>
      </c>
      <c r="C1801" s="2" t="s">
        <v>10160</v>
      </c>
      <c r="D1801" s="2" t="s">
        <v>10159</v>
      </c>
      <c r="E1801" s="2" t="s">
        <v>80</v>
      </c>
      <c r="F1801" s="3">
        <v>41946</v>
      </c>
      <c r="G1801" s="2" t="str">
        <f>"9783035306552"</f>
        <v>9783035306552</v>
      </c>
      <c r="H1801" s="2" t="s">
        <v>14</v>
      </c>
      <c r="I1801" s="4">
        <v>43090.657638888886</v>
      </c>
      <c r="J1801" s="2" t="s">
        <v>10161</v>
      </c>
    </row>
    <row r="1802" spans="1:10" ht="135" x14ac:dyDescent="0.25">
      <c r="A1802" s="2" t="s">
        <v>122</v>
      </c>
      <c r="B1802" s="2">
        <v>823.7</v>
      </c>
      <c r="C1802" s="2" t="s">
        <v>6234</v>
      </c>
      <c r="D1802" s="2" t="s">
        <v>6233</v>
      </c>
      <c r="E1802" s="2" t="s">
        <v>101</v>
      </c>
      <c r="F1802" s="3">
        <v>43327</v>
      </c>
      <c r="G1802" s="2" t="str">
        <f>"9780810137547"</f>
        <v>9780810137547</v>
      </c>
      <c r="H1802" s="2" t="s">
        <v>14</v>
      </c>
      <c r="I1802" s="4">
        <v>43530.708333333336</v>
      </c>
      <c r="J1802" s="2" t="s">
        <v>6235</v>
      </c>
    </row>
    <row r="1803" spans="1:10" ht="135" x14ac:dyDescent="0.25">
      <c r="A1803" s="2" t="s">
        <v>122</v>
      </c>
      <c r="B1803" s="2">
        <v>813.08729089999997</v>
      </c>
      <c r="C1803" s="2" t="s">
        <v>123</v>
      </c>
      <c r="D1803" s="2" t="s">
        <v>2682</v>
      </c>
      <c r="E1803" s="2" t="s">
        <v>41</v>
      </c>
      <c r="F1803" s="3">
        <v>42906</v>
      </c>
      <c r="G1803" s="2" t="str">
        <f>"9780817390532"</f>
        <v>9780817390532</v>
      </c>
      <c r="H1803" s="2" t="s">
        <v>14</v>
      </c>
      <c r="I1803" s="4">
        <v>43865.663888888892</v>
      </c>
      <c r="J1803" s="2" t="s">
        <v>2683</v>
      </c>
    </row>
    <row r="1804" spans="1:10" ht="150" x14ac:dyDescent="0.25">
      <c r="A1804" s="2" t="s">
        <v>122</v>
      </c>
      <c r="B1804" s="2">
        <v>861.3</v>
      </c>
      <c r="C1804" s="2" t="s">
        <v>5822</v>
      </c>
      <c r="D1804" s="2" t="s">
        <v>5821</v>
      </c>
      <c r="E1804" s="2" t="s">
        <v>50</v>
      </c>
      <c r="F1804" s="3">
        <v>43497</v>
      </c>
      <c r="G1804" s="2" t="str">
        <f>"9781496212771"</f>
        <v>9781496212771</v>
      </c>
      <c r="H1804" s="2" t="s">
        <v>14</v>
      </c>
      <c r="I1804" s="4">
        <v>43567.660416666666</v>
      </c>
      <c r="J1804" s="2" t="s">
        <v>5823</v>
      </c>
    </row>
    <row r="1805" spans="1:10" ht="135" x14ac:dyDescent="0.25">
      <c r="A1805" s="2" t="s">
        <v>122</v>
      </c>
      <c r="B1805" s="2">
        <v>892.43087290899996</v>
      </c>
      <c r="C1805" s="2" t="s">
        <v>3495</v>
      </c>
      <c r="D1805" s="2" t="s">
        <v>3494</v>
      </c>
      <c r="E1805" s="2" t="s">
        <v>69</v>
      </c>
      <c r="F1805" s="3">
        <v>43709</v>
      </c>
      <c r="G1805" s="2" t="str">
        <f>"9780253042293"</f>
        <v>9780253042293</v>
      </c>
      <c r="H1805" s="2" t="s">
        <v>14</v>
      </c>
      <c r="I1805" s="4">
        <v>43779.529166666667</v>
      </c>
      <c r="J1805" s="2" t="s">
        <v>3496</v>
      </c>
    </row>
    <row r="1806" spans="1:10" ht="135" x14ac:dyDescent="0.25">
      <c r="A1806" s="2" t="s">
        <v>122</v>
      </c>
      <c r="B1806" s="2">
        <v>823.50935203999995</v>
      </c>
      <c r="C1806" s="2" t="s">
        <v>12881</v>
      </c>
      <c r="D1806" s="2" t="s">
        <v>12880</v>
      </c>
      <c r="E1806" s="2" t="s">
        <v>4660</v>
      </c>
      <c r="F1806" s="3">
        <v>34081</v>
      </c>
      <c r="G1806" s="2" t="str">
        <f>"9780813159577"</f>
        <v>9780813159577</v>
      </c>
      <c r="H1806" s="2" t="s">
        <v>14</v>
      </c>
      <c r="I1806" s="4">
        <v>42763.645138888889</v>
      </c>
      <c r="J1806" s="2" t="s">
        <v>12882</v>
      </c>
    </row>
    <row r="1807" spans="1:10" ht="135" x14ac:dyDescent="0.25">
      <c r="A1807" s="2" t="s">
        <v>122</v>
      </c>
      <c r="B1807" s="2" t="s">
        <v>4671</v>
      </c>
      <c r="C1807" s="2" t="s">
        <v>4672</v>
      </c>
      <c r="D1807" s="2" t="s">
        <v>4669</v>
      </c>
      <c r="E1807" s="2" t="s">
        <v>4670</v>
      </c>
      <c r="F1807" s="3">
        <v>43046</v>
      </c>
      <c r="G1807" s="2" t="str">
        <f>"9781512601381"</f>
        <v>9781512601381</v>
      </c>
      <c r="H1807" s="2" t="s">
        <v>14</v>
      </c>
      <c r="I1807" s="4">
        <v>43638.944444444445</v>
      </c>
      <c r="J1807" s="2" t="s">
        <v>4673</v>
      </c>
    </row>
    <row r="1808" spans="1:10" ht="135" x14ac:dyDescent="0.25">
      <c r="A1808" s="2" t="s">
        <v>122</v>
      </c>
      <c r="B1808" s="2">
        <v>823.00935200000004</v>
      </c>
      <c r="C1808" s="2" t="s">
        <v>619</v>
      </c>
      <c r="D1808" s="2" t="s">
        <v>5347</v>
      </c>
      <c r="E1808" s="2" t="s">
        <v>37</v>
      </c>
      <c r="F1808" s="3">
        <v>42690</v>
      </c>
      <c r="G1808" s="2" t="str">
        <f>"9783319335575"</f>
        <v>9783319335575</v>
      </c>
      <c r="H1808" s="2" t="s">
        <v>14</v>
      </c>
      <c r="I1808" s="4">
        <v>43604.543749999997</v>
      </c>
      <c r="J1808" s="2" t="s">
        <v>5348</v>
      </c>
    </row>
    <row r="1809" spans="1:10" ht="135" x14ac:dyDescent="0.25">
      <c r="A1809" s="2" t="s">
        <v>122</v>
      </c>
      <c r="B1809" s="2" t="s">
        <v>10666</v>
      </c>
      <c r="C1809" s="2" t="s">
        <v>10667</v>
      </c>
      <c r="D1809" s="2" t="s">
        <v>10665</v>
      </c>
      <c r="E1809" s="2" t="s">
        <v>4660</v>
      </c>
      <c r="F1809" s="3">
        <v>36482</v>
      </c>
      <c r="G1809" s="2" t="str">
        <f>"9780813159584"</f>
        <v>9780813159584</v>
      </c>
      <c r="H1809" s="2" t="s">
        <v>14</v>
      </c>
      <c r="I1809" s="4">
        <v>43043.54583333333</v>
      </c>
      <c r="J1809" s="2" t="s">
        <v>10668</v>
      </c>
    </row>
    <row r="1810" spans="1:10" ht="135" x14ac:dyDescent="0.25">
      <c r="A1810" s="2" t="s">
        <v>122</v>
      </c>
      <c r="B1810" s="2">
        <v>882.01</v>
      </c>
      <c r="C1810" s="2" t="s">
        <v>9470</v>
      </c>
      <c r="D1810" s="2" t="s">
        <v>9469</v>
      </c>
      <c r="E1810" s="2" t="s">
        <v>8718</v>
      </c>
      <c r="F1810" s="3">
        <v>41368</v>
      </c>
      <c r="G1810" s="2" t="str">
        <f>"9781611475944"</f>
        <v>9781611475944</v>
      </c>
      <c r="H1810" s="2" t="s">
        <v>14</v>
      </c>
      <c r="I1810" s="4">
        <v>43164.86041666667</v>
      </c>
      <c r="J1810" s="2" t="s">
        <v>9471</v>
      </c>
    </row>
    <row r="1811" spans="1:10" ht="135" x14ac:dyDescent="0.25">
      <c r="A1811" s="2" t="s">
        <v>122</v>
      </c>
      <c r="B1811" s="2">
        <v>831.6</v>
      </c>
      <c r="C1811" s="2" t="s">
        <v>2199</v>
      </c>
      <c r="D1811" s="2" t="s">
        <v>2198</v>
      </c>
      <c r="E1811" s="2" t="s">
        <v>69</v>
      </c>
      <c r="F1811" s="3">
        <v>43371</v>
      </c>
      <c r="G1811" s="2" t="str">
        <f>"9780253035875"</f>
        <v>9780253035875</v>
      </c>
      <c r="H1811" s="2" t="s">
        <v>14</v>
      </c>
      <c r="I1811" s="4">
        <v>43903.540972222225</v>
      </c>
      <c r="J1811" s="2" t="s">
        <v>2200</v>
      </c>
    </row>
    <row r="1812" spans="1:10" ht="135" x14ac:dyDescent="0.25">
      <c r="A1812" s="2" t="s">
        <v>122</v>
      </c>
      <c r="B1812" s="2" t="s">
        <v>9025</v>
      </c>
      <c r="C1812" s="2" t="s">
        <v>9390</v>
      </c>
      <c r="D1812" s="2" t="s">
        <v>9389</v>
      </c>
      <c r="E1812" s="2" t="s">
        <v>69</v>
      </c>
      <c r="F1812" s="3">
        <v>41898</v>
      </c>
      <c r="G1812" s="2" t="str">
        <f>"9780253014306"</f>
        <v>9780253014306</v>
      </c>
      <c r="H1812" s="2" t="s">
        <v>14</v>
      </c>
      <c r="I1812" s="4">
        <v>43175.224999999999</v>
      </c>
      <c r="J1812" s="2" t="s">
        <v>9391</v>
      </c>
    </row>
    <row r="1813" spans="1:10" ht="135" x14ac:dyDescent="0.25">
      <c r="A1813" s="2" t="s">
        <v>122</v>
      </c>
      <c r="B1813" s="2" t="s">
        <v>4254</v>
      </c>
      <c r="C1813" s="2" t="s">
        <v>4985</v>
      </c>
      <c r="D1813" s="2" t="s">
        <v>4984</v>
      </c>
      <c r="E1813" s="2" t="s">
        <v>54</v>
      </c>
      <c r="F1813" s="3">
        <v>42578</v>
      </c>
      <c r="G1813" s="2" t="str">
        <f>"9780804797498"</f>
        <v>9780804797498</v>
      </c>
      <c r="H1813" s="2" t="s">
        <v>14</v>
      </c>
      <c r="I1813" s="4">
        <v>43613.674305555556</v>
      </c>
      <c r="J1813" s="2" t="s">
        <v>4986</v>
      </c>
    </row>
    <row r="1814" spans="1:10" ht="135" x14ac:dyDescent="0.25">
      <c r="A1814" s="2" t="s">
        <v>122</v>
      </c>
      <c r="B1814" s="2">
        <v>883.01</v>
      </c>
      <c r="C1814" s="2" t="s">
        <v>8032</v>
      </c>
      <c r="D1814" s="2" t="s">
        <v>8031</v>
      </c>
      <c r="E1814" s="2" t="s">
        <v>526</v>
      </c>
      <c r="F1814" s="3">
        <v>43325</v>
      </c>
      <c r="G1814" s="2" t="str">
        <f>"9781477316047"</f>
        <v>9781477316047</v>
      </c>
      <c r="H1814" s="2" t="s">
        <v>14</v>
      </c>
      <c r="I1814" s="4">
        <v>43362.470138888886</v>
      </c>
      <c r="J1814" s="2" t="s">
        <v>8033</v>
      </c>
    </row>
    <row r="1815" spans="1:10" ht="135" x14ac:dyDescent="0.25">
      <c r="A1815" s="2" t="s">
        <v>122</v>
      </c>
      <c r="B1815" s="2">
        <v>883.01</v>
      </c>
      <c r="C1815" s="2" t="s">
        <v>2565</v>
      </c>
      <c r="D1815" s="2" t="s">
        <v>2564</v>
      </c>
      <c r="E1815" s="2" t="s">
        <v>216</v>
      </c>
      <c r="F1815" s="3">
        <v>43770</v>
      </c>
      <c r="G1815" s="2" t="str">
        <f>"9781438476681"</f>
        <v>9781438476681</v>
      </c>
      <c r="H1815" s="2" t="s">
        <v>14</v>
      </c>
      <c r="I1815" s="4">
        <v>43876.638888888891</v>
      </c>
      <c r="J1815" s="2" t="s">
        <v>2566</v>
      </c>
    </row>
    <row r="1816" spans="1:10" ht="135" x14ac:dyDescent="0.25">
      <c r="A1816" s="2" t="s">
        <v>122</v>
      </c>
      <c r="B1816" s="2" t="s">
        <v>8946</v>
      </c>
      <c r="C1816" s="2" t="s">
        <v>123</v>
      </c>
      <c r="D1816" s="2" t="s">
        <v>8945</v>
      </c>
      <c r="E1816" s="2" t="s">
        <v>136</v>
      </c>
      <c r="F1816" s="3">
        <v>43009</v>
      </c>
      <c r="G1816" s="2" t="str">
        <f>"9781609385224"</f>
        <v>9781609385224</v>
      </c>
      <c r="H1816" s="2" t="s">
        <v>14</v>
      </c>
      <c r="I1816" s="4">
        <v>43237.35</v>
      </c>
      <c r="J1816" s="2" t="s">
        <v>8947</v>
      </c>
    </row>
    <row r="1817" spans="1:10" ht="135" x14ac:dyDescent="0.25">
      <c r="A1817" s="2" t="s">
        <v>122</v>
      </c>
      <c r="B1817" s="2" t="s">
        <v>12085</v>
      </c>
      <c r="C1817" s="2" t="s">
        <v>12086</v>
      </c>
      <c r="D1817" s="2" t="s">
        <v>12084</v>
      </c>
      <c r="E1817" s="2" t="s">
        <v>674</v>
      </c>
      <c r="F1817" s="3">
        <v>41897</v>
      </c>
      <c r="G1817" s="2" t="str">
        <f>"9780823263844"</f>
        <v>9780823263844</v>
      </c>
      <c r="H1817" s="2" t="s">
        <v>14</v>
      </c>
      <c r="I1817" s="4">
        <v>42851.59652777778</v>
      </c>
      <c r="J1817" s="2" t="s">
        <v>12087</v>
      </c>
    </row>
    <row r="1818" spans="1:10" ht="135" x14ac:dyDescent="0.25">
      <c r="A1818" s="2" t="s">
        <v>122</v>
      </c>
      <c r="B1818" s="2" t="s">
        <v>1413</v>
      </c>
      <c r="C1818" s="2" t="s">
        <v>3128</v>
      </c>
      <c r="D1818" s="2" t="s">
        <v>3127</v>
      </c>
      <c r="E1818" s="2" t="s">
        <v>136</v>
      </c>
      <c r="F1818" s="3">
        <v>43146</v>
      </c>
      <c r="G1818" s="2" t="str">
        <f>"9781609385507"</f>
        <v>9781609385507</v>
      </c>
      <c r="H1818" s="2" t="s">
        <v>14</v>
      </c>
      <c r="I1818" s="4">
        <v>43809.402777777781</v>
      </c>
      <c r="J1818" s="2" t="s">
        <v>3129</v>
      </c>
    </row>
    <row r="1819" spans="1:10" ht="135" x14ac:dyDescent="0.25">
      <c r="A1819" s="2" t="s">
        <v>122</v>
      </c>
      <c r="B1819" s="2" t="s">
        <v>824</v>
      </c>
      <c r="C1819" s="2" t="s">
        <v>825</v>
      </c>
      <c r="D1819" s="2" t="s">
        <v>823</v>
      </c>
      <c r="E1819" s="2" t="s">
        <v>58</v>
      </c>
      <c r="F1819" s="3">
        <v>43880</v>
      </c>
      <c r="G1819" s="2" t="str">
        <f>"9780299324131"</f>
        <v>9780299324131</v>
      </c>
      <c r="H1819" s="2" t="s">
        <v>14</v>
      </c>
      <c r="I1819" s="4">
        <v>43982.895138888889</v>
      </c>
      <c r="J1819" s="2" t="s">
        <v>826</v>
      </c>
    </row>
    <row r="1820" spans="1:10" ht="135" x14ac:dyDescent="0.25">
      <c r="A1820" s="2" t="s">
        <v>122</v>
      </c>
      <c r="B1820" s="2">
        <v>809.02</v>
      </c>
      <c r="C1820" s="2" t="s">
        <v>619</v>
      </c>
      <c r="D1820" s="2" t="s">
        <v>1126</v>
      </c>
      <c r="E1820" s="2" t="s">
        <v>618</v>
      </c>
      <c r="F1820" s="3">
        <v>39239</v>
      </c>
      <c r="G1820" s="2" t="str">
        <f>"9781137086709"</f>
        <v>9781137086709</v>
      </c>
      <c r="H1820" s="2" t="s">
        <v>14</v>
      </c>
      <c r="I1820" s="4">
        <v>43961.652083333334</v>
      </c>
      <c r="J1820" s="2" t="s">
        <v>1127</v>
      </c>
    </row>
    <row r="1821" spans="1:10" ht="135" x14ac:dyDescent="0.25">
      <c r="A1821" s="2" t="s">
        <v>122</v>
      </c>
      <c r="B1821" s="2" t="s">
        <v>863</v>
      </c>
      <c r="C1821" s="2" t="s">
        <v>864</v>
      </c>
      <c r="D1821" s="2" t="s">
        <v>862</v>
      </c>
      <c r="E1821" s="2" t="s">
        <v>397</v>
      </c>
      <c r="F1821" s="3">
        <v>43305</v>
      </c>
      <c r="G1821" s="2" t="str">
        <f>"9780822983385"</f>
        <v>9780822983385</v>
      </c>
      <c r="H1821" s="2" t="s">
        <v>14</v>
      </c>
      <c r="I1821" s="4">
        <v>43979.423611111109</v>
      </c>
      <c r="J1821" s="2" t="s">
        <v>865</v>
      </c>
    </row>
    <row r="1822" spans="1:10" ht="135" x14ac:dyDescent="0.25">
      <c r="A1822" s="2" t="s">
        <v>122</v>
      </c>
      <c r="B1822" s="2" t="s">
        <v>2740</v>
      </c>
      <c r="C1822" s="2" t="s">
        <v>10082</v>
      </c>
      <c r="D1822" s="2" t="s">
        <v>10081</v>
      </c>
      <c r="E1822" s="2" t="s">
        <v>73</v>
      </c>
      <c r="F1822" s="3">
        <v>40409</v>
      </c>
      <c r="G1822" s="2" t="str">
        <f>"9781452942919"</f>
        <v>9781452942919</v>
      </c>
      <c r="H1822" s="2" t="s">
        <v>14</v>
      </c>
      <c r="I1822" s="4">
        <v>43104.79791666667</v>
      </c>
      <c r="J1822" s="2" t="s">
        <v>10083</v>
      </c>
    </row>
    <row r="1823" spans="1:10" ht="135" x14ac:dyDescent="0.25">
      <c r="A1823" s="2" t="s">
        <v>122</v>
      </c>
      <c r="B1823" s="2" t="s">
        <v>4975</v>
      </c>
      <c r="C1823" s="2" t="s">
        <v>12025</v>
      </c>
      <c r="D1823" s="2" t="s">
        <v>12024</v>
      </c>
      <c r="E1823" s="2" t="s">
        <v>69</v>
      </c>
      <c r="F1823" s="3">
        <v>42339</v>
      </c>
      <c r="G1823" s="2" t="str">
        <f>"9780253018137"</f>
        <v>9780253018137</v>
      </c>
      <c r="H1823" s="2" t="s">
        <v>14</v>
      </c>
      <c r="I1823" s="4">
        <v>42861.424305555556</v>
      </c>
      <c r="J1823" s="2" t="s">
        <v>12026</v>
      </c>
    </row>
    <row r="1824" spans="1:10" ht="135" x14ac:dyDescent="0.25">
      <c r="A1824" s="2" t="s">
        <v>122</v>
      </c>
      <c r="B1824" s="2">
        <v>820.99206930000003</v>
      </c>
      <c r="C1824" s="2" t="s">
        <v>11377</v>
      </c>
      <c r="D1824" s="2" t="s">
        <v>11376</v>
      </c>
      <c r="E1824" s="2" t="s">
        <v>50</v>
      </c>
      <c r="F1824" s="3">
        <v>42644</v>
      </c>
      <c r="G1824" s="2" t="str">
        <f>"9780803294899"</f>
        <v>9780803294899</v>
      </c>
      <c r="H1824" s="2" t="s">
        <v>14</v>
      </c>
      <c r="I1824" s="4">
        <v>42981.582638888889</v>
      </c>
      <c r="J1824" s="2" t="s">
        <v>11378</v>
      </c>
    </row>
    <row r="1825" spans="1:10" ht="180" x14ac:dyDescent="0.25">
      <c r="A1825" s="2" t="s">
        <v>122</v>
      </c>
      <c r="B1825" s="2" t="s">
        <v>6526</v>
      </c>
      <c r="C1825" s="2" t="s">
        <v>6527</v>
      </c>
      <c r="D1825" s="2" t="s">
        <v>6525</v>
      </c>
      <c r="E1825" s="2" t="s">
        <v>216</v>
      </c>
      <c r="F1825" s="3">
        <v>42156</v>
      </c>
      <c r="G1825" s="2" t="str">
        <f>"9781438456232"</f>
        <v>9781438456232</v>
      </c>
      <c r="H1825" s="2" t="s">
        <v>14</v>
      </c>
      <c r="I1825" s="4">
        <v>43509.727083333331</v>
      </c>
      <c r="J1825" s="2" t="s">
        <v>6528</v>
      </c>
    </row>
    <row r="1826" spans="1:10" ht="135" x14ac:dyDescent="0.25">
      <c r="A1826" s="2" t="s">
        <v>122</v>
      </c>
      <c r="B1826" s="2" t="s">
        <v>5033</v>
      </c>
      <c r="C1826" s="2" t="s">
        <v>2712</v>
      </c>
      <c r="D1826" s="2" t="s">
        <v>5032</v>
      </c>
      <c r="E1826" s="2" t="s">
        <v>41</v>
      </c>
      <c r="F1826" s="3">
        <v>42124</v>
      </c>
      <c r="G1826" s="2" t="str">
        <f>"9780817388164"</f>
        <v>9780817388164</v>
      </c>
      <c r="H1826" s="2" t="s">
        <v>14</v>
      </c>
      <c r="I1826" s="4">
        <v>43611.728472222225</v>
      </c>
      <c r="J1826" s="2" t="s">
        <v>5034</v>
      </c>
    </row>
    <row r="1827" spans="1:10" ht="150" x14ac:dyDescent="0.25">
      <c r="A1827" s="2" t="s">
        <v>122</v>
      </c>
      <c r="B1827" s="2" t="s">
        <v>3676</v>
      </c>
      <c r="C1827" s="2" t="s">
        <v>3677</v>
      </c>
      <c r="D1827" s="2" t="s">
        <v>3675</v>
      </c>
      <c r="E1827" s="2" t="s">
        <v>41</v>
      </c>
      <c r="F1827" s="3">
        <v>42689</v>
      </c>
      <c r="G1827" s="2" t="str">
        <f>"9780817390631"</f>
        <v>9780817390631</v>
      </c>
      <c r="H1827" s="2" t="s">
        <v>14</v>
      </c>
      <c r="I1827" s="4">
        <v>43767.663194444445</v>
      </c>
      <c r="J1827" s="2" t="s">
        <v>3678</v>
      </c>
    </row>
    <row r="1828" spans="1:10" ht="135" x14ac:dyDescent="0.25">
      <c r="A1828" s="2" t="s">
        <v>122</v>
      </c>
      <c r="B1828" s="2">
        <v>821.91200000000003</v>
      </c>
      <c r="C1828" s="2" t="s">
        <v>9887</v>
      </c>
      <c r="D1828" s="2" t="s">
        <v>9886</v>
      </c>
      <c r="E1828" s="2" t="s">
        <v>54</v>
      </c>
      <c r="F1828" s="3">
        <v>42606</v>
      </c>
      <c r="G1828" s="2" t="str">
        <f>"9781503600140"</f>
        <v>9781503600140</v>
      </c>
      <c r="H1828" s="2" t="s">
        <v>14</v>
      </c>
      <c r="I1828" s="4">
        <v>43122.836111111108</v>
      </c>
      <c r="J1828" s="2" t="s">
        <v>9888</v>
      </c>
    </row>
    <row r="1829" spans="1:10" ht="135" x14ac:dyDescent="0.25">
      <c r="A1829" s="2" t="s">
        <v>122</v>
      </c>
      <c r="B1829" s="2" t="s">
        <v>1021</v>
      </c>
      <c r="C1829" s="2" t="s">
        <v>1022</v>
      </c>
      <c r="D1829" s="2" t="s">
        <v>1020</v>
      </c>
      <c r="E1829" s="2" t="s">
        <v>54</v>
      </c>
      <c r="F1829" s="3">
        <v>36434</v>
      </c>
      <c r="G1829" s="2" t="str">
        <f>"9780804783064"</f>
        <v>9780804783064</v>
      </c>
      <c r="H1829" s="2" t="s">
        <v>14</v>
      </c>
      <c r="I1829" s="4">
        <v>43969.495833333334</v>
      </c>
      <c r="J1829" s="2" t="s">
        <v>1023</v>
      </c>
    </row>
    <row r="1830" spans="1:10" ht="135" x14ac:dyDescent="0.25">
      <c r="A1830" s="2" t="s">
        <v>122</v>
      </c>
      <c r="B1830" s="2" t="s">
        <v>3637</v>
      </c>
      <c r="C1830" s="2" t="s">
        <v>3638</v>
      </c>
      <c r="D1830" s="2" t="s">
        <v>3636</v>
      </c>
      <c r="E1830" s="2" t="s">
        <v>101</v>
      </c>
      <c r="F1830" s="3">
        <v>43205</v>
      </c>
      <c r="G1830" s="2" t="str">
        <f>"9780810136953"</f>
        <v>9780810136953</v>
      </c>
      <c r="H1830" s="2" t="s">
        <v>14</v>
      </c>
      <c r="I1830" s="4">
        <v>43769.931250000001</v>
      </c>
      <c r="J1830" s="2" t="s">
        <v>3639</v>
      </c>
    </row>
    <row r="1831" spans="1:10" ht="135" x14ac:dyDescent="0.25">
      <c r="A1831" s="2" t="s">
        <v>122</v>
      </c>
      <c r="B1831" s="2" t="s">
        <v>7492</v>
      </c>
      <c r="C1831" s="2" t="s">
        <v>7493</v>
      </c>
      <c r="D1831" s="2" t="s">
        <v>7491</v>
      </c>
      <c r="E1831" s="2" t="s">
        <v>58</v>
      </c>
      <c r="F1831" s="3">
        <v>43277</v>
      </c>
      <c r="G1831" s="2" t="str">
        <f>"9780299317638"</f>
        <v>9780299317638</v>
      </c>
      <c r="H1831" s="2" t="s">
        <v>14</v>
      </c>
      <c r="I1831" s="4">
        <v>43412.569444444445</v>
      </c>
      <c r="J1831" s="2" t="s">
        <v>7494</v>
      </c>
    </row>
    <row r="1832" spans="1:10" ht="135" x14ac:dyDescent="0.25">
      <c r="A1832" s="2" t="s">
        <v>122</v>
      </c>
      <c r="B1832" s="2" t="s">
        <v>868</v>
      </c>
      <c r="C1832" s="2" t="s">
        <v>869</v>
      </c>
      <c r="D1832" s="2" t="s">
        <v>866</v>
      </c>
      <c r="E1832" s="2" t="s">
        <v>867</v>
      </c>
      <c r="F1832" s="3">
        <v>40026</v>
      </c>
      <c r="G1832" s="2" t="str">
        <f>"9781936249541"</f>
        <v>9781936249541</v>
      </c>
      <c r="H1832" s="2" t="s">
        <v>14</v>
      </c>
      <c r="I1832" s="4">
        <v>43978.650694444441</v>
      </c>
      <c r="J1832" s="2" t="s">
        <v>870</v>
      </c>
    </row>
    <row r="1833" spans="1:10" ht="135" x14ac:dyDescent="0.25">
      <c r="A1833" s="2" t="s">
        <v>122</v>
      </c>
      <c r="B1833" s="2" t="s">
        <v>2740</v>
      </c>
      <c r="C1833" s="2" t="s">
        <v>2741</v>
      </c>
      <c r="D1833" s="2" t="s">
        <v>2739</v>
      </c>
      <c r="E1833" s="2" t="s">
        <v>216</v>
      </c>
      <c r="F1833" s="3">
        <v>41974</v>
      </c>
      <c r="G1833" s="2" t="str">
        <f>"9781438454092"</f>
        <v>9781438454092</v>
      </c>
      <c r="H1833" s="2" t="s">
        <v>14</v>
      </c>
      <c r="I1833" s="4">
        <v>43860.026388888888</v>
      </c>
      <c r="J1833" s="2" t="s">
        <v>2742</v>
      </c>
    </row>
    <row r="1834" spans="1:10" ht="135" x14ac:dyDescent="0.25">
      <c r="A1834" s="2" t="s">
        <v>122</v>
      </c>
      <c r="B1834" s="2" t="s">
        <v>11806</v>
      </c>
      <c r="C1834" s="2" t="s">
        <v>11807</v>
      </c>
      <c r="D1834" s="2" t="s">
        <v>11805</v>
      </c>
      <c r="E1834" s="2" t="s">
        <v>310</v>
      </c>
      <c r="F1834" s="3">
        <v>42275</v>
      </c>
      <c r="G1834" s="2" t="str">
        <f>"9780815653417"</f>
        <v>9780815653417</v>
      </c>
      <c r="H1834" s="2" t="s">
        <v>14</v>
      </c>
      <c r="I1834" s="4">
        <v>42887.724999999999</v>
      </c>
      <c r="J1834" s="2" t="s">
        <v>11808</v>
      </c>
    </row>
    <row r="1835" spans="1:10" ht="135" x14ac:dyDescent="0.25">
      <c r="A1835" s="2" t="s">
        <v>122</v>
      </c>
      <c r="B1835" s="2" t="s">
        <v>6591</v>
      </c>
      <c r="C1835" s="2" t="s">
        <v>9106</v>
      </c>
      <c r="D1835" s="2" t="s">
        <v>9105</v>
      </c>
      <c r="E1835" s="2" t="s">
        <v>73</v>
      </c>
      <c r="F1835" s="3">
        <v>42354</v>
      </c>
      <c r="G1835" s="2" t="str">
        <f>"9781452944968"</f>
        <v>9781452944968</v>
      </c>
      <c r="H1835" s="2" t="s">
        <v>14</v>
      </c>
      <c r="I1835" s="4">
        <v>43218.616666666669</v>
      </c>
      <c r="J1835" s="2" t="s">
        <v>9107</v>
      </c>
    </row>
    <row r="1836" spans="1:10" ht="135" x14ac:dyDescent="0.25">
      <c r="A1836" s="2" t="s">
        <v>122</v>
      </c>
      <c r="B1836" s="2">
        <v>823.8</v>
      </c>
      <c r="C1836" s="2" t="s">
        <v>9566</v>
      </c>
      <c r="D1836" s="2" t="s">
        <v>9565</v>
      </c>
      <c r="E1836" s="2" t="s">
        <v>4660</v>
      </c>
      <c r="F1836" s="3">
        <v>41827</v>
      </c>
      <c r="G1836" s="2" t="str">
        <f>"9780813163925"</f>
        <v>9780813163925</v>
      </c>
      <c r="H1836" s="2" t="s">
        <v>14</v>
      </c>
      <c r="I1836" s="4">
        <v>43152.818749999999</v>
      </c>
      <c r="J1836" s="2" t="s">
        <v>9567</v>
      </c>
    </row>
    <row r="1837" spans="1:10" ht="135" x14ac:dyDescent="0.25">
      <c r="A1837" s="2" t="s">
        <v>122</v>
      </c>
      <c r="B1837" s="2">
        <v>809.93362569999999</v>
      </c>
      <c r="C1837" s="2" t="s">
        <v>12997</v>
      </c>
      <c r="D1837" s="2" t="s">
        <v>12996</v>
      </c>
      <c r="E1837" s="2" t="s">
        <v>80</v>
      </c>
      <c r="F1837" s="3">
        <v>41939</v>
      </c>
      <c r="G1837" s="2" t="str">
        <f>"9783035264777"</f>
        <v>9783035264777</v>
      </c>
      <c r="H1837" s="2" t="s">
        <v>14</v>
      </c>
      <c r="I1837" s="4">
        <v>42746.17083333333</v>
      </c>
      <c r="J1837" s="2" t="s">
        <v>12998</v>
      </c>
    </row>
    <row r="1838" spans="1:10" ht="135" x14ac:dyDescent="0.25">
      <c r="A1838" s="2" t="s">
        <v>122</v>
      </c>
      <c r="B1838" s="2">
        <v>820.90090999999995</v>
      </c>
      <c r="C1838" s="2" t="s">
        <v>11422</v>
      </c>
      <c r="D1838" s="2" t="s">
        <v>11421</v>
      </c>
      <c r="E1838" s="2" t="s">
        <v>674</v>
      </c>
      <c r="F1838" s="3">
        <v>42339</v>
      </c>
      <c r="G1838" s="2" t="str">
        <f>"9780823267859"</f>
        <v>9780823267859</v>
      </c>
      <c r="H1838" s="2" t="s">
        <v>14</v>
      </c>
      <c r="I1838" s="4">
        <v>42972.597916666666</v>
      </c>
      <c r="J1838" s="2" t="s">
        <v>11423</v>
      </c>
    </row>
    <row r="1839" spans="1:10" ht="135" x14ac:dyDescent="0.25">
      <c r="A1839" s="2" t="s">
        <v>122</v>
      </c>
      <c r="B1839" s="2" t="s">
        <v>12142</v>
      </c>
      <c r="C1839" s="2" t="s">
        <v>12143</v>
      </c>
      <c r="D1839" s="2" t="s">
        <v>12141</v>
      </c>
      <c r="E1839" s="2" t="s">
        <v>216</v>
      </c>
      <c r="F1839" s="3">
        <v>42156</v>
      </c>
      <c r="G1839" s="2" t="str">
        <f>"9781438456126"</f>
        <v>9781438456126</v>
      </c>
      <c r="H1839" s="2" t="s">
        <v>14</v>
      </c>
      <c r="I1839" s="4">
        <v>42845.477083333331</v>
      </c>
      <c r="J1839" s="2" t="s">
        <v>12144</v>
      </c>
    </row>
    <row r="1840" spans="1:10" ht="135" x14ac:dyDescent="0.25">
      <c r="A1840" s="2" t="s">
        <v>122</v>
      </c>
      <c r="B1840" s="2" t="s">
        <v>8711</v>
      </c>
      <c r="C1840" s="2" t="s">
        <v>8712</v>
      </c>
      <c r="D1840" s="2" t="s">
        <v>8710</v>
      </c>
      <c r="E1840" s="2" t="s">
        <v>4660</v>
      </c>
      <c r="F1840" s="3">
        <v>33130</v>
      </c>
      <c r="G1840" s="2" t="str">
        <f>"9780813159683"</f>
        <v>9780813159683</v>
      </c>
      <c r="H1840" s="2" t="s">
        <v>14</v>
      </c>
      <c r="I1840" s="4">
        <v>43262.568055555559</v>
      </c>
      <c r="J1840" s="2" t="s">
        <v>8713</v>
      </c>
    </row>
    <row r="1841" spans="1:10" ht="135" x14ac:dyDescent="0.25">
      <c r="A1841" s="2" t="s">
        <v>122</v>
      </c>
      <c r="B1841" s="2">
        <v>823.91200000000003</v>
      </c>
      <c r="C1841" s="2" t="s">
        <v>3401</v>
      </c>
      <c r="D1841" s="2" t="s">
        <v>3400</v>
      </c>
      <c r="E1841" s="2" t="s">
        <v>80</v>
      </c>
      <c r="F1841" s="3">
        <v>41724</v>
      </c>
      <c r="G1841" s="2" t="str">
        <f>"9783653039023"</f>
        <v>9783653039023</v>
      </c>
      <c r="H1841" s="2" t="s">
        <v>14</v>
      </c>
      <c r="I1841" s="4">
        <v>43784.651388888888</v>
      </c>
      <c r="J1841" s="2" t="s">
        <v>3402</v>
      </c>
    </row>
    <row r="1842" spans="1:10" ht="135" x14ac:dyDescent="0.25">
      <c r="A1842" s="2" t="s">
        <v>122</v>
      </c>
      <c r="B1842" s="2" t="s">
        <v>8171</v>
      </c>
      <c r="C1842" s="2" t="s">
        <v>8172</v>
      </c>
      <c r="D1842" s="2" t="s">
        <v>8170</v>
      </c>
      <c r="E1842" s="2" t="s">
        <v>310</v>
      </c>
      <c r="F1842" s="3">
        <v>41955</v>
      </c>
      <c r="G1842" s="2" t="str">
        <f>"9780815652922"</f>
        <v>9780815652922</v>
      </c>
      <c r="H1842" s="2" t="s">
        <v>14</v>
      </c>
      <c r="I1842" s="4">
        <v>43344.696527777778</v>
      </c>
      <c r="J1842" s="2" t="s">
        <v>8173</v>
      </c>
    </row>
    <row r="1843" spans="1:10" ht="135" x14ac:dyDescent="0.25">
      <c r="A1843" s="2" t="s">
        <v>122</v>
      </c>
      <c r="B1843" s="2">
        <v>820.99414999999999</v>
      </c>
      <c r="C1843" s="2" t="s">
        <v>1439</v>
      </c>
      <c r="D1843" s="2" t="s">
        <v>1438</v>
      </c>
      <c r="E1843" s="2" t="s">
        <v>33</v>
      </c>
      <c r="F1843" s="3">
        <v>43404</v>
      </c>
      <c r="G1843" s="2" t="str">
        <f>"9781613766125"</f>
        <v>9781613766125</v>
      </c>
      <c r="H1843" s="2" t="s">
        <v>14</v>
      </c>
      <c r="I1843" s="4">
        <v>43943.424305555556</v>
      </c>
      <c r="J1843" s="2" t="s">
        <v>1440</v>
      </c>
    </row>
    <row r="1844" spans="1:10" ht="150" x14ac:dyDescent="0.25">
      <c r="A1844" s="2" t="s">
        <v>122</v>
      </c>
      <c r="B1844" s="2">
        <v>843.91408999999999</v>
      </c>
      <c r="C1844" s="2" t="s">
        <v>10937</v>
      </c>
      <c r="D1844" s="2" t="s">
        <v>10936</v>
      </c>
      <c r="E1844" s="2" t="s">
        <v>80</v>
      </c>
      <c r="F1844" s="3">
        <v>42216</v>
      </c>
      <c r="G1844" s="2" t="str">
        <f>"9783035307122"</f>
        <v>9783035307122</v>
      </c>
      <c r="H1844" s="2" t="s">
        <v>14</v>
      </c>
      <c r="I1844" s="4">
        <v>43028.379861111112</v>
      </c>
      <c r="J1844" s="2" t="s">
        <v>10938</v>
      </c>
    </row>
    <row r="1845" spans="1:10" ht="135" x14ac:dyDescent="0.25">
      <c r="A1845" s="2" t="s">
        <v>122</v>
      </c>
      <c r="B1845" s="2" t="s">
        <v>12819</v>
      </c>
      <c r="C1845" s="2" t="s">
        <v>12820</v>
      </c>
      <c r="D1845" s="2" t="s">
        <v>12818</v>
      </c>
      <c r="E1845" s="2" t="s">
        <v>28</v>
      </c>
      <c r="F1845" s="3">
        <v>42095</v>
      </c>
      <c r="G1845" s="2" t="str">
        <f>"9780823264988"</f>
        <v>9780823264988</v>
      </c>
      <c r="H1845" s="2" t="s">
        <v>14</v>
      </c>
      <c r="I1845" s="4">
        <v>42771.720138888886</v>
      </c>
      <c r="J1845" s="2" t="s">
        <v>12821</v>
      </c>
    </row>
    <row r="1846" spans="1:10" ht="135" x14ac:dyDescent="0.25">
      <c r="A1846" s="2" t="s">
        <v>122</v>
      </c>
      <c r="B1846" s="2">
        <v>823.91399999999999</v>
      </c>
      <c r="C1846" s="2" t="s">
        <v>8772</v>
      </c>
      <c r="D1846" s="2" t="s">
        <v>8771</v>
      </c>
      <c r="E1846" s="2" t="s">
        <v>578</v>
      </c>
      <c r="F1846" s="3">
        <v>43049</v>
      </c>
      <c r="G1846" s="2" t="str">
        <f>"9780252050039"</f>
        <v>9780252050039</v>
      </c>
      <c r="H1846" s="2" t="s">
        <v>14</v>
      </c>
      <c r="I1846" s="4">
        <v>43253.572222222225</v>
      </c>
      <c r="J1846" s="2" t="s">
        <v>8773</v>
      </c>
    </row>
    <row r="1847" spans="1:10" ht="135" x14ac:dyDescent="0.25">
      <c r="A1847" s="2" t="s">
        <v>122</v>
      </c>
      <c r="C1847" s="2" t="s">
        <v>3408</v>
      </c>
      <c r="D1847" s="2" t="s">
        <v>3406</v>
      </c>
      <c r="E1847" s="2" t="s">
        <v>3407</v>
      </c>
      <c r="F1847" s="3">
        <v>37926</v>
      </c>
      <c r="G1847" s="2" t="str">
        <f>"9781610171182"</f>
        <v>9781610171182</v>
      </c>
      <c r="H1847" s="2" t="s">
        <v>14</v>
      </c>
      <c r="I1847" s="4">
        <v>43784.496527777781</v>
      </c>
      <c r="J1847" s="2" t="s">
        <v>3409</v>
      </c>
    </row>
    <row r="1848" spans="1:10" ht="135" x14ac:dyDescent="0.25">
      <c r="A1848" s="2" t="s">
        <v>122</v>
      </c>
      <c r="B1848" s="2">
        <v>818.54089999999997</v>
      </c>
      <c r="C1848" s="2" t="s">
        <v>169</v>
      </c>
      <c r="D1848" s="2" t="s">
        <v>12977</v>
      </c>
      <c r="E1848" s="2" t="s">
        <v>11785</v>
      </c>
      <c r="F1848" s="3">
        <v>40821</v>
      </c>
      <c r="G1848" s="2" t="str">
        <f>"9780472027613"</f>
        <v>9780472027613</v>
      </c>
      <c r="H1848" s="2" t="s">
        <v>14</v>
      </c>
      <c r="I1848" s="4">
        <v>42751.696527777778</v>
      </c>
      <c r="J1848" s="2" t="s">
        <v>12978</v>
      </c>
    </row>
    <row r="1849" spans="1:10" ht="135" x14ac:dyDescent="0.25">
      <c r="A1849" s="2" t="s">
        <v>122</v>
      </c>
      <c r="B1849" s="2" t="s">
        <v>168</v>
      </c>
      <c r="C1849" s="2" t="s">
        <v>169</v>
      </c>
      <c r="D1849" s="2" t="s">
        <v>167</v>
      </c>
      <c r="E1849" s="2" t="s">
        <v>121</v>
      </c>
      <c r="F1849" s="3">
        <v>43313</v>
      </c>
      <c r="G1849" s="2" t="str">
        <f>"9781609175702"</f>
        <v>9781609175702</v>
      </c>
      <c r="H1849" s="2" t="s">
        <v>14</v>
      </c>
      <c r="I1849" s="4">
        <v>44066.482638888891</v>
      </c>
      <c r="J1849" s="2" t="s">
        <v>170</v>
      </c>
    </row>
    <row r="1850" spans="1:10" ht="135" x14ac:dyDescent="0.25">
      <c r="A1850" s="2" t="s">
        <v>122</v>
      </c>
      <c r="B1850" s="2">
        <v>823.7</v>
      </c>
      <c r="C1850" s="2" t="s">
        <v>192</v>
      </c>
      <c r="D1850" s="2" t="s">
        <v>190</v>
      </c>
      <c r="E1850" s="2" t="s">
        <v>191</v>
      </c>
      <c r="F1850" s="3">
        <v>42880</v>
      </c>
      <c r="G1850" s="2" t="str">
        <f>"9781785902567"</f>
        <v>9781785902567</v>
      </c>
      <c r="H1850" s="2" t="s">
        <v>14</v>
      </c>
      <c r="I1850" s="4">
        <v>44061.804861111108</v>
      </c>
      <c r="J1850" s="2" t="s">
        <v>193</v>
      </c>
    </row>
    <row r="1851" spans="1:10" ht="135" x14ac:dyDescent="0.25">
      <c r="A1851" s="2" t="s">
        <v>122</v>
      </c>
      <c r="B1851" s="2" t="s">
        <v>437</v>
      </c>
      <c r="C1851" s="2" t="s">
        <v>438</v>
      </c>
      <c r="D1851" s="2" t="s">
        <v>435</v>
      </c>
      <c r="E1851" s="2" t="s">
        <v>436</v>
      </c>
      <c r="F1851" s="3">
        <v>35977</v>
      </c>
      <c r="G1851" s="2" t="str">
        <f>"9780826446671"</f>
        <v>9780826446671</v>
      </c>
      <c r="H1851" s="2" t="s">
        <v>14</v>
      </c>
      <c r="I1851" s="4">
        <v>44024.581944444442</v>
      </c>
      <c r="J1851" s="2" t="s">
        <v>439</v>
      </c>
    </row>
    <row r="1852" spans="1:10" ht="165" x14ac:dyDescent="0.25">
      <c r="A1852" s="2" t="s">
        <v>122</v>
      </c>
      <c r="B1852" s="2">
        <v>821.1</v>
      </c>
      <c r="C1852" s="2" t="s">
        <v>6014</v>
      </c>
      <c r="D1852" s="2" t="s">
        <v>6013</v>
      </c>
      <c r="E1852" s="2" t="s">
        <v>322</v>
      </c>
      <c r="F1852" s="3">
        <v>41671</v>
      </c>
      <c r="G1852" s="2" t="str">
        <f>"9780820346403"</f>
        <v>9780820346403</v>
      </c>
      <c r="H1852" s="2" t="s">
        <v>14</v>
      </c>
      <c r="I1852" s="4">
        <v>43549.90902777778</v>
      </c>
      <c r="J1852" s="2" t="s">
        <v>6015</v>
      </c>
    </row>
    <row r="1853" spans="1:10" ht="135" x14ac:dyDescent="0.25">
      <c r="A1853" s="2" t="s">
        <v>122</v>
      </c>
      <c r="B1853" s="2" t="s">
        <v>3052</v>
      </c>
      <c r="C1853" s="2" t="s">
        <v>3053</v>
      </c>
      <c r="D1853" s="2" t="s">
        <v>3051</v>
      </c>
      <c r="E1853" s="2" t="s">
        <v>69</v>
      </c>
      <c r="F1853" s="3">
        <v>42828</v>
      </c>
      <c r="G1853" s="2" t="str">
        <f>"9780253026750"</f>
        <v>9780253026750</v>
      </c>
      <c r="H1853" s="2" t="s">
        <v>14</v>
      </c>
      <c r="I1853" s="4">
        <v>43820.852777777778</v>
      </c>
      <c r="J1853" s="2" t="s">
        <v>3054</v>
      </c>
    </row>
    <row r="1854" spans="1:10" ht="165" x14ac:dyDescent="0.25">
      <c r="A1854" s="2" t="s">
        <v>122</v>
      </c>
      <c r="B1854" s="2">
        <v>833.00935299239995</v>
      </c>
      <c r="C1854" s="2" t="s">
        <v>6572</v>
      </c>
      <c r="D1854" s="2" t="s">
        <v>6571</v>
      </c>
      <c r="E1854" s="2" t="s">
        <v>54</v>
      </c>
      <c r="F1854" s="3">
        <v>41717</v>
      </c>
      <c r="G1854" s="2" t="str">
        <f>"9780804790598"</f>
        <v>9780804790598</v>
      </c>
      <c r="H1854" s="2" t="s">
        <v>14</v>
      </c>
      <c r="I1854" s="4">
        <v>43507.589583333334</v>
      </c>
      <c r="J1854" s="2" t="s">
        <v>6573</v>
      </c>
    </row>
    <row r="1855" spans="1:10" ht="135" x14ac:dyDescent="0.25">
      <c r="A1855" s="2" t="s">
        <v>122</v>
      </c>
      <c r="B1855" s="2">
        <v>809.7</v>
      </c>
      <c r="C1855" s="2" t="s">
        <v>12969</v>
      </c>
      <c r="D1855" s="2" t="s">
        <v>12968</v>
      </c>
      <c r="E1855" s="2" t="s">
        <v>723</v>
      </c>
      <c r="F1855" s="3">
        <v>40817</v>
      </c>
      <c r="G1855" s="2" t="str">
        <f>"9781612491547"</f>
        <v>9781612491547</v>
      </c>
      <c r="H1855" s="2" t="s">
        <v>14</v>
      </c>
      <c r="I1855" s="4">
        <v>42752.987500000003</v>
      </c>
      <c r="J1855" s="2" t="s">
        <v>12970</v>
      </c>
    </row>
    <row r="1856" spans="1:10" ht="135" x14ac:dyDescent="0.25">
      <c r="A1856" s="2" t="s">
        <v>122</v>
      </c>
      <c r="B1856" s="2">
        <v>823.91399999999999</v>
      </c>
      <c r="C1856" s="2" t="s">
        <v>619</v>
      </c>
      <c r="D1856" s="2" t="s">
        <v>1744</v>
      </c>
      <c r="E1856" s="2" t="s">
        <v>37</v>
      </c>
      <c r="F1856" s="3">
        <v>43388</v>
      </c>
      <c r="G1856" s="2" t="str">
        <f>"9783319940939"</f>
        <v>9783319940939</v>
      </c>
      <c r="H1856" s="2" t="s">
        <v>14</v>
      </c>
      <c r="I1856" s="4">
        <v>43929.575694444444</v>
      </c>
      <c r="J1856" s="2" t="s">
        <v>1745</v>
      </c>
    </row>
    <row r="1857" spans="1:10" ht="135" x14ac:dyDescent="0.25">
      <c r="A1857" s="2" t="s">
        <v>122</v>
      </c>
      <c r="B1857" s="2">
        <v>800</v>
      </c>
      <c r="C1857" s="2" t="s">
        <v>619</v>
      </c>
      <c r="D1857" s="2" t="s">
        <v>7410</v>
      </c>
      <c r="E1857" s="2" t="s">
        <v>37</v>
      </c>
      <c r="F1857" s="3">
        <v>43010</v>
      </c>
      <c r="G1857" s="2" t="str">
        <f>"9783319553009"</f>
        <v>9783319553009</v>
      </c>
      <c r="H1857" s="2" t="s">
        <v>14</v>
      </c>
      <c r="I1857" s="4">
        <v>43417.761805555558</v>
      </c>
      <c r="J1857" s="2" t="s">
        <v>7411</v>
      </c>
    </row>
    <row r="1858" spans="1:10" ht="135" x14ac:dyDescent="0.25">
      <c r="A1858" s="2" t="s">
        <v>122</v>
      </c>
      <c r="B1858" s="2" t="s">
        <v>4857</v>
      </c>
      <c r="C1858" s="2" t="s">
        <v>4858</v>
      </c>
      <c r="D1858" s="2" t="s">
        <v>4856</v>
      </c>
      <c r="E1858" s="2" t="s">
        <v>622</v>
      </c>
      <c r="F1858" s="3">
        <v>42752</v>
      </c>
      <c r="G1858" s="2" t="str">
        <f>"9780826274120"</f>
        <v>9780826274120</v>
      </c>
      <c r="H1858" s="2" t="s">
        <v>14</v>
      </c>
      <c r="I1858" s="4">
        <v>43620.769444444442</v>
      </c>
      <c r="J1858" s="2" t="s">
        <v>4859</v>
      </c>
    </row>
    <row r="1859" spans="1:10" ht="135" x14ac:dyDescent="0.25">
      <c r="A1859" s="2" t="s">
        <v>122</v>
      </c>
      <c r="B1859" s="2">
        <v>821.4</v>
      </c>
      <c r="C1859" s="2" t="s">
        <v>12102</v>
      </c>
      <c r="D1859" s="2" t="s">
        <v>12101</v>
      </c>
      <c r="E1859" s="2" t="s">
        <v>4660</v>
      </c>
      <c r="F1859" s="3">
        <v>37135</v>
      </c>
      <c r="G1859" s="2" t="str">
        <f>"9780813157917"</f>
        <v>9780813157917</v>
      </c>
      <c r="H1859" s="2" t="s">
        <v>14</v>
      </c>
      <c r="I1859" s="4">
        <v>42851.280555555553</v>
      </c>
      <c r="J1859" s="2" t="s">
        <v>12103</v>
      </c>
    </row>
    <row r="1860" spans="1:10" ht="135" x14ac:dyDescent="0.25">
      <c r="A1860" s="2" t="s">
        <v>122</v>
      </c>
      <c r="B1860" s="2">
        <v>823.91200000000003</v>
      </c>
      <c r="C1860" s="2" t="s">
        <v>6294</v>
      </c>
      <c r="D1860" s="2" t="s">
        <v>6293</v>
      </c>
      <c r="E1860" s="2" t="s">
        <v>130</v>
      </c>
      <c r="F1860" s="3">
        <v>43053</v>
      </c>
      <c r="G1860" s="2" t="str">
        <f>"9780813052953"</f>
        <v>9780813052953</v>
      </c>
      <c r="H1860" s="2" t="s">
        <v>14</v>
      </c>
      <c r="I1860" s="4">
        <v>43526.604166666664</v>
      </c>
      <c r="J1860" s="2" t="s">
        <v>6295</v>
      </c>
    </row>
    <row r="1861" spans="1:10" ht="135" x14ac:dyDescent="0.25">
      <c r="A1861" s="2" t="s">
        <v>122</v>
      </c>
      <c r="B1861" s="2" t="s">
        <v>2387</v>
      </c>
      <c r="C1861" s="2" t="s">
        <v>12758</v>
      </c>
      <c r="D1861" s="2" t="s">
        <v>12757</v>
      </c>
      <c r="E1861" s="2" t="s">
        <v>130</v>
      </c>
      <c r="F1861" s="3">
        <v>42348</v>
      </c>
      <c r="G1861" s="2" t="str">
        <f>"9780813055619"</f>
        <v>9780813055619</v>
      </c>
      <c r="H1861" s="2" t="s">
        <v>14</v>
      </c>
      <c r="I1861" s="4">
        <v>42777.032638888886</v>
      </c>
      <c r="J1861" s="2" t="s">
        <v>12759</v>
      </c>
    </row>
    <row r="1862" spans="1:10" ht="135" x14ac:dyDescent="0.25">
      <c r="A1862" s="2" t="s">
        <v>122</v>
      </c>
      <c r="B1862" s="2" t="s">
        <v>11293</v>
      </c>
      <c r="C1862" s="2" t="s">
        <v>11294</v>
      </c>
      <c r="D1862" s="2" t="s">
        <v>11292</v>
      </c>
      <c r="E1862" s="2" t="s">
        <v>310</v>
      </c>
      <c r="F1862" s="3">
        <v>41893</v>
      </c>
      <c r="G1862" s="2" t="str">
        <f>"9780815652717"</f>
        <v>9780815652717</v>
      </c>
      <c r="H1862" s="2" t="s">
        <v>14</v>
      </c>
      <c r="I1862" s="4">
        <v>42992.561805555553</v>
      </c>
      <c r="J1862" s="2" t="s">
        <v>11295</v>
      </c>
    </row>
    <row r="1863" spans="1:10" ht="135" x14ac:dyDescent="0.25">
      <c r="A1863" s="2" t="s">
        <v>122</v>
      </c>
      <c r="B1863" s="2">
        <v>833.91200000000003</v>
      </c>
      <c r="C1863" s="2" t="s">
        <v>5589</v>
      </c>
      <c r="D1863" s="2" t="s">
        <v>5588</v>
      </c>
      <c r="E1863" s="2" t="s">
        <v>101</v>
      </c>
      <c r="F1863" s="3">
        <v>43480</v>
      </c>
      <c r="G1863" s="2" t="str">
        <f>"9780810138957"</f>
        <v>9780810138957</v>
      </c>
      <c r="H1863" s="2" t="s">
        <v>14</v>
      </c>
      <c r="I1863" s="4">
        <v>43586.76666666667</v>
      </c>
      <c r="J1863" s="2" t="s">
        <v>5590</v>
      </c>
    </row>
    <row r="1864" spans="1:10" ht="135" x14ac:dyDescent="0.25">
      <c r="A1864" s="2" t="s">
        <v>122</v>
      </c>
      <c r="B1864" s="2">
        <v>833.91200000000003</v>
      </c>
      <c r="C1864" s="2" t="s">
        <v>619</v>
      </c>
      <c r="D1864" s="2" t="s">
        <v>12526</v>
      </c>
      <c r="E1864" s="2" t="s">
        <v>37</v>
      </c>
      <c r="F1864" s="3">
        <v>42613</v>
      </c>
      <c r="G1864" s="2" t="str">
        <f>"9783319403946"</f>
        <v>9783319403946</v>
      </c>
      <c r="H1864" s="2" t="s">
        <v>14</v>
      </c>
      <c r="I1864" s="4">
        <v>42797.870833333334</v>
      </c>
      <c r="J1864" s="2" t="s">
        <v>12527</v>
      </c>
    </row>
    <row r="1865" spans="1:10" ht="135" x14ac:dyDescent="0.25">
      <c r="A1865" s="2" t="s">
        <v>122</v>
      </c>
      <c r="B1865" s="2">
        <v>823.91200000000003</v>
      </c>
      <c r="C1865" s="2" t="s">
        <v>8742</v>
      </c>
      <c r="D1865" s="2" t="s">
        <v>8741</v>
      </c>
      <c r="E1865" s="2" t="s">
        <v>310</v>
      </c>
      <c r="F1865" s="3">
        <v>43026</v>
      </c>
      <c r="G1865" s="2" t="str">
        <f>"9780815654131"</f>
        <v>9780815654131</v>
      </c>
      <c r="H1865" s="2" t="s">
        <v>14</v>
      </c>
      <c r="I1865" s="4">
        <v>43258.531944444447</v>
      </c>
      <c r="J1865" s="2" t="s">
        <v>8743</v>
      </c>
    </row>
    <row r="1866" spans="1:10" ht="135" x14ac:dyDescent="0.25">
      <c r="A1866" s="2" t="s">
        <v>122</v>
      </c>
      <c r="B1866" s="2" t="s">
        <v>2640</v>
      </c>
      <c r="C1866" s="2" t="s">
        <v>4551</v>
      </c>
      <c r="D1866" s="2" t="s">
        <v>12639</v>
      </c>
      <c r="E1866" s="2" t="s">
        <v>578</v>
      </c>
      <c r="F1866" s="3">
        <v>42173</v>
      </c>
      <c r="G1866" s="2" t="str">
        <f>"9780252097362"</f>
        <v>9780252097362</v>
      </c>
      <c r="H1866" s="2" t="s">
        <v>14</v>
      </c>
      <c r="I1866" s="4">
        <v>42787.576388888891</v>
      </c>
      <c r="J1866" s="2" t="s">
        <v>12640</v>
      </c>
    </row>
    <row r="1867" spans="1:10" ht="135" x14ac:dyDescent="0.25">
      <c r="A1867" s="2" t="s">
        <v>122</v>
      </c>
      <c r="B1867" s="2">
        <v>853.3</v>
      </c>
      <c r="C1867" s="2" t="s">
        <v>10943</v>
      </c>
      <c r="D1867" s="2" t="s">
        <v>10942</v>
      </c>
      <c r="E1867" s="2" t="s">
        <v>1550</v>
      </c>
      <c r="F1867" s="3">
        <v>37687</v>
      </c>
      <c r="G1867" s="2" t="str">
        <f>"9781134727537"</f>
        <v>9781134727537</v>
      </c>
      <c r="H1867" s="2" t="s">
        <v>14</v>
      </c>
      <c r="I1867" s="4">
        <v>43027.539583333331</v>
      </c>
      <c r="J1867" s="2" t="s">
        <v>10944</v>
      </c>
    </row>
    <row r="1868" spans="1:10" ht="135" x14ac:dyDescent="0.25">
      <c r="A1868" s="2" t="s">
        <v>122</v>
      </c>
      <c r="B1868" s="2" t="s">
        <v>4979</v>
      </c>
      <c r="C1868" s="2" t="s">
        <v>4980</v>
      </c>
      <c r="D1868" s="2" t="s">
        <v>4978</v>
      </c>
      <c r="E1868" s="2" t="s">
        <v>216</v>
      </c>
      <c r="F1868" s="3">
        <v>43556</v>
      </c>
      <c r="G1868" s="2" t="str">
        <f>"9781438473475"</f>
        <v>9781438473475</v>
      </c>
      <c r="H1868" s="2" t="s">
        <v>14</v>
      </c>
      <c r="I1868" s="4">
        <v>43614.246527777781</v>
      </c>
      <c r="J1868" s="2" t="s">
        <v>4981</v>
      </c>
    </row>
    <row r="1869" spans="1:10" ht="135" x14ac:dyDescent="0.25">
      <c r="A1869" s="2" t="s">
        <v>122</v>
      </c>
      <c r="B1869" s="2" t="s">
        <v>7527</v>
      </c>
      <c r="C1869" s="2" t="s">
        <v>7528</v>
      </c>
      <c r="D1869" s="2" t="s">
        <v>7526</v>
      </c>
      <c r="E1869" s="2" t="s">
        <v>216</v>
      </c>
      <c r="F1869" s="3">
        <v>38302</v>
      </c>
      <c r="G1869" s="2" t="str">
        <f>"9780791484418"</f>
        <v>9780791484418</v>
      </c>
      <c r="H1869" s="2" t="s">
        <v>14</v>
      </c>
      <c r="I1869" s="4">
        <v>43410.68472222222</v>
      </c>
      <c r="J1869" s="2" t="s">
        <v>7529</v>
      </c>
    </row>
    <row r="1870" spans="1:10" ht="150" x14ac:dyDescent="0.25">
      <c r="A1870" s="2" t="s">
        <v>122</v>
      </c>
      <c r="B1870" s="2" t="s">
        <v>7596</v>
      </c>
      <c r="C1870" s="2" t="s">
        <v>7597</v>
      </c>
      <c r="D1870" s="2" t="s">
        <v>7595</v>
      </c>
      <c r="E1870" s="2" t="s">
        <v>310</v>
      </c>
      <c r="F1870" s="3">
        <v>43070</v>
      </c>
      <c r="G1870" s="2" t="str">
        <f>"9780815654148"</f>
        <v>9780815654148</v>
      </c>
      <c r="H1870" s="2" t="s">
        <v>14</v>
      </c>
      <c r="I1870" s="4">
        <v>43406.478472222225</v>
      </c>
      <c r="J1870" s="2" t="s">
        <v>7598</v>
      </c>
    </row>
    <row r="1871" spans="1:10" ht="150" x14ac:dyDescent="0.25">
      <c r="A1871" s="2" t="s">
        <v>122</v>
      </c>
      <c r="B1871" s="2" t="s">
        <v>2447</v>
      </c>
      <c r="C1871" s="2" t="s">
        <v>2448</v>
      </c>
      <c r="D1871" s="2" t="s">
        <v>2446</v>
      </c>
      <c r="E1871" s="2" t="s">
        <v>1656</v>
      </c>
      <c r="F1871" s="3">
        <v>43451</v>
      </c>
      <c r="G1871" s="2" t="str">
        <f>"9781943859948"</f>
        <v>9781943859948</v>
      </c>
      <c r="H1871" s="2" t="s">
        <v>14</v>
      </c>
      <c r="I1871" s="4">
        <v>43885.435416666667</v>
      </c>
      <c r="J1871" s="2" t="s">
        <v>2449</v>
      </c>
    </row>
    <row r="1872" spans="1:10" ht="135" x14ac:dyDescent="0.25">
      <c r="A1872" s="2" t="s">
        <v>122</v>
      </c>
      <c r="B1872" s="2">
        <v>811.52089999999998</v>
      </c>
      <c r="C1872" s="2" t="s">
        <v>4755</v>
      </c>
      <c r="D1872" s="2" t="s">
        <v>4754</v>
      </c>
      <c r="E1872" s="2" t="s">
        <v>156</v>
      </c>
      <c r="F1872" s="3">
        <v>43626</v>
      </c>
      <c r="G1872" s="2" t="str">
        <f>"9781469651309"</f>
        <v>9781469651309</v>
      </c>
      <c r="H1872" s="2" t="s">
        <v>14</v>
      </c>
      <c r="I1872" s="4">
        <v>43630.736805555556</v>
      </c>
      <c r="J1872" s="2" t="s">
        <v>4756</v>
      </c>
    </row>
    <row r="1873" spans="1:10" ht="135" x14ac:dyDescent="0.25">
      <c r="A1873" s="2" t="s">
        <v>122</v>
      </c>
      <c r="B1873" s="2">
        <v>892.78503000000001</v>
      </c>
      <c r="C1873" s="2" t="s">
        <v>12362</v>
      </c>
      <c r="D1873" s="2" t="s">
        <v>12361</v>
      </c>
      <c r="E1873" s="2" t="s">
        <v>180</v>
      </c>
      <c r="F1873" s="3">
        <v>42292</v>
      </c>
      <c r="G1873" s="2" t="str">
        <f>"9781479832880"</f>
        <v>9781479832880</v>
      </c>
      <c r="H1873" s="2" t="s">
        <v>14</v>
      </c>
      <c r="I1873" s="4">
        <v>42814.590277777781</v>
      </c>
      <c r="J1873" s="2" t="s">
        <v>12363</v>
      </c>
    </row>
    <row r="1874" spans="1:10" ht="135" x14ac:dyDescent="0.25">
      <c r="A1874" s="2" t="s">
        <v>122</v>
      </c>
      <c r="B1874" s="2" t="s">
        <v>4301</v>
      </c>
      <c r="C1874" s="2" t="s">
        <v>4302</v>
      </c>
      <c r="D1874" s="2" t="s">
        <v>4300</v>
      </c>
      <c r="E1874" s="2" t="s">
        <v>216</v>
      </c>
      <c r="F1874" s="3">
        <v>43586</v>
      </c>
      <c r="G1874" s="2" t="str">
        <f>"9781438474199"</f>
        <v>9781438474199</v>
      </c>
      <c r="H1874" s="2" t="s">
        <v>14</v>
      </c>
      <c r="I1874" s="4">
        <v>43684.454861111109</v>
      </c>
      <c r="J1874" s="2" t="s">
        <v>4303</v>
      </c>
    </row>
    <row r="1875" spans="1:10" ht="135" x14ac:dyDescent="0.25">
      <c r="A1875" s="2" t="s">
        <v>122</v>
      </c>
      <c r="B1875" s="2" t="s">
        <v>7709</v>
      </c>
      <c r="C1875" s="2" t="s">
        <v>7710</v>
      </c>
      <c r="D1875" s="2" t="s">
        <v>7708</v>
      </c>
      <c r="E1875" s="2" t="s">
        <v>856</v>
      </c>
      <c r="F1875" s="3">
        <v>41434</v>
      </c>
      <c r="G1875" s="2" t="str">
        <f>"9780295804668"</f>
        <v>9780295804668</v>
      </c>
      <c r="H1875" s="2" t="s">
        <v>14</v>
      </c>
      <c r="I1875" s="4">
        <v>43398.630555555559</v>
      </c>
      <c r="J1875" s="2" t="s">
        <v>7711</v>
      </c>
    </row>
    <row r="1876" spans="1:10" ht="135" x14ac:dyDescent="0.25">
      <c r="A1876" s="2" t="s">
        <v>122</v>
      </c>
      <c r="B1876" s="2">
        <v>810.93520396999998</v>
      </c>
      <c r="C1876" s="2" t="s">
        <v>1885</v>
      </c>
      <c r="D1876" s="2" t="s">
        <v>1884</v>
      </c>
      <c r="E1876" s="2" t="s">
        <v>156</v>
      </c>
      <c r="F1876" s="3">
        <v>43451</v>
      </c>
      <c r="G1876" s="2" t="str">
        <f>"9781469646961"</f>
        <v>9781469646961</v>
      </c>
      <c r="H1876" s="2" t="s">
        <v>14</v>
      </c>
      <c r="I1876" s="4">
        <v>43923.425694444442</v>
      </c>
      <c r="J1876" s="2" t="s">
        <v>1886</v>
      </c>
    </row>
    <row r="1877" spans="1:10" ht="135" x14ac:dyDescent="0.25">
      <c r="A1877" s="2" t="s">
        <v>122</v>
      </c>
      <c r="B1877" s="2" t="s">
        <v>1021</v>
      </c>
      <c r="C1877" s="2" t="s">
        <v>8589</v>
      </c>
      <c r="D1877" s="2" t="s">
        <v>8588</v>
      </c>
      <c r="E1877" s="2" t="s">
        <v>54</v>
      </c>
      <c r="F1877" s="3">
        <v>43095</v>
      </c>
      <c r="G1877" s="2" t="str">
        <f>"9781503604094"</f>
        <v>9781503604094</v>
      </c>
      <c r="H1877" s="2" t="s">
        <v>14</v>
      </c>
      <c r="I1877" s="4">
        <v>43285.475694444445</v>
      </c>
      <c r="J1877" s="2" t="s">
        <v>8590</v>
      </c>
    </row>
    <row r="1878" spans="1:10" ht="135" x14ac:dyDescent="0.25">
      <c r="A1878" s="2" t="s">
        <v>122</v>
      </c>
      <c r="B1878" s="2">
        <v>823.91399999999999</v>
      </c>
      <c r="C1878" s="2" t="s">
        <v>4636</v>
      </c>
      <c r="D1878" s="2" t="s">
        <v>4635</v>
      </c>
      <c r="E1878" s="2" t="s">
        <v>80</v>
      </c>
      <c r="F1878" s="3">
        <v>41758</v>
      </c>
      <c r="G1878" s="2" t="str">
        <f>"9783653043310"</f>
        <v>9783653043310</v>
      </c>
      <c r="H1878" s="2" t="s">
        <v>14</v>
      </c>
      <c r="I1878" s="4">
        <v>43644.399305555555</v>
      </c>
      <c r="J1878" s="2" t="s">
        <v>4637</v>
      </c>
    </row>
    <row r="1879" spans="1:10" ht="135" x14ac:dyDescent="0.25">
      <c r="A1879" s="2" t="s">
        <v>122</v>
      </c>
      <c r="B1879" s="2" t="s">
        <v>7084</v>
      </c>
      <c r="C1879" s="2" t="s">
        <v>9489</v>
      </c>
      <c r="D1879" s="2" t="s">
        <v>9488</v>
      </c>
      <c r="E1879" s="2" t="s">
        <v>80</v>
      </c>
      <c r="F1879" s="3">
        <v>42461</v>
      </c>
      <c r="G1879" s="2" t="str">
        <f>"9783653061819"</f>
        <v>9783653061819</v>
      </c>
      <c r="H1879" s="2" t="s">
        <v>14</v>
      </c>
      <c r="I1879" s="4">
        <v>43162.356944444444</v>
      </c>
      <c r="J1879" s="2" t="s">
        <v>9490</v>
      </c>
    </row>
    <row r="1880" spans="1:10" ht="135" x14ac:dyDescent="0.25">
      <c r="A1880" s="2" t="s">
        <v>122</v>
      </c>
      <c r="B1880" s="2" t="s">
        <v>4381</v>
      </c>
      <c r="C1880" s="2" t="s">
        <v>1144</v>
      </c>
      <c r="D1880" s="2" t="s">
        <v>4380</v>
      </c>
      <c r="E1880" s="2" t="s">
        <v>856</v>
      </c>
      <c r="F1880" s="3">
        <v>41913</v>
      </c>
      <c r="G1880" s="2" t="str">
        <f>"9780295805603"</f>
        <v>9780295805603</v>
      </c>
      <c r="H1880" s="2" t="s">
        <v>14</v>
      </c>
      <c r="I1880" s="4">
        <v>43675.706250000003</v>
      </c>
      <c r="J1880" s="2" t="s">
        <v>4382</v>
      </c>
    </row>
    <row r="1881" spans="1:10" ht="135" x14ac:dyDescent="0.25">
      <c r="A1881" s="2" t="s">
        <v>122</v>
      </c>
      <c r="C1881" s="2" t="s">
        <v>169</v>
      </c>
      <c r="D1881" s="2" t="s">
        <v>2176</v>
      </c>
      <c r="E1881" s="2" t="s">
        <v>2177</v>
      </c>
      <c r="F1881" s="3">
        <v>43336</v>
      </c>
      <c r="G1881" s="2" t="str">
        <f>"9781478002345"</f>
        <v>9781478002345</v>
      </c>
      <c r="H1881" s="2" t="s">
        <v>14</v>
      </c>
      <c r="I1881" s="4">
        <v>43905.642361111109</v>
      </c>
      <c r="J1881" s="2" t="s">
        <v>2178</v>
      </c>
    </row>
    <row r="1882" spans="1:10" ht="135" x14ac:dyDescent="0.25">
      <c r="A1882" s="2" t="s">
        <v>122</v>
      </c>
      <c r="B1882" s="2">
        <v>843</v>
      </c>
      <c r="C1882" s="2" t="s">
        <v>7046</v>
      </c>
      <c r="D1882" s="2" t="s">
        <v>7045</v>
      </c>
      <c r="E1882" s="2" t="s">
        <v>80</v>
      </c>
      <c r="F1882" s="3">
        <v>41982</v>
      </c>
      <c r="G1882" s="2" t="str">
        <f>"9783035306729"</f>
        <v>9783035306729</v>
      </c>
      <c r="H1882" s="2" t="s">
        <v>14</v>
      </c>
      <c r="I1882" s="4">
        <v>43455.448611111111</v>
      </c>
      <c r="J1882" s="2" t="s">
        <v>7047</v>
      </c>
    </row>
    <row r="1883" spans="1:10" ht="135" x14ac:dyDescent="0.25">
      <c r="A1883" s="2" t="s">
        <v>122</v>
      </c>
      <c r="B1883" s="2" t="s">
        <v>137</v>
      </c>
      <c r="C1883" s="2" t="s">
        <v>169</v>
      </c>
      <c r="D1883" s="2" t="s">
        <v>3110</v>
      </c>
      <c r="E1883" s="2" t="s">
        <v>578</v>
      </c>
      <c r="F1883" s="3">
        <v>42184</v>
      </c>
      <c r="G1883" s="2" t="str">
        <f>"9780252097379"</f>
        <v>9780252097379</v>
      </c>
      <c r="H1883" s="2" t="s">
        <v>14</v>
      </c>
      <c r="I1883" s="4">
        <v>43810.522222222222</v>
      </c>
      <c r="J1883" s="2" t="s">
        <v>3111</v>
      </c>
    </row>
    <row r="1884" spans="1:10" ht="135" x14ac:dyDescent="0.25">
      <c r="A1884" s="2" t="s">
        <v>122</v>
      </c>
      <c r="B1884" s="2" t="s">
        <v>137</v>
      </c>
      <c r="C1884" s="2" t="s">
        <v>9999</v>
      </c>
      <c r="D1884" s="2" t="s">
        <v>9998</v>
      </c>
      <c r="E1884" s="2" t="s">
        <v>322</v>
      </c>
      <c r="F1884" s="3">
        <v>42795</v>
      </c>
      <c r="G1884" s="2" t="str">
        <f>"9780820350592"</f>
        <v>9780820350592</v>
      </c>
      <c r="H1884" s="2" t="s">
        <v>14</v>
      </c>
      <c r="I1884" s="4">
        <v>43112.609027777777</v>
      </c>
      <c r="J1884" s="2" t="s">
        <v>10000</v>
      </c>
    </row>
    <row r="1885" spans="1:10" ht="135" x14ac:dyDescent="0.25">
      <c r="A1885" s="2" t="s">
        <v>122</v>
      </c>
      <c r="B1885" s="2">
        <v>891.55110000000002</v>
      </c>
      <c r="C1885" s="2" t="s">
        <v>635</v>
      </c>
      <c r="D1885" s="2" t="s">
        <v>9353</v>
      </c>
      <c r="E1885" s="2" t="s">
        <v>121</v>
      </c>
      <c r="F1885" s="3">
        <v>42401</v>
      </c>
      <c r="G1885" s="2" t="str">
        <f>"9781609174866"</f>
        <v>9781609174866</v>
      </c>
      <c r="H1885" s="2" t="s">
        <v>14</v>
      </c>
      <c r="I1885" s="4">
        <v>43179.925000000003</v>
      </c>
      <c r="J1885" s="2" t="s">
        <v>9354</v>
      </c>
    </row>
    <row r="1886" spans="1:10" ht="135" x14ac:dyDescent="0.25">
      <c r="A1886" s="2" t="s">
        <v>122</v>
      </c>
      <c r="B1886" s="2" t="s">
        <v>11882</v>
      </c>
      <c r="C1886" s="2" t="s">
        <v>11883</v>
      </c>
      <c r="D1886" s="2" t="s">
        <v>11881</v>
      </c>
      <c r="E1886" s="2" t="s">
        <v>58</v>
      </c>
      <c r="F1886" s="3">
        <v>42166</v>
      </c>
      <c r="G1886" s="2" t="str">
        <f>"9780299304133"</f>
        <v>9780299304133</v>
      </c>
      <c r="H1886" s="2" t="s">
        <v>14</v>
      </c>
      <c r="I1886" s="4">
        <v>42874.734027777777</v>
      </c>
      <c r="J1886" s="2" t="s">
        <v>11884</v>
      </c>
    </row>
    <row r="1887" spans="1:10" ht="135" x14ac:dyDescent="0.25">
      <c r="A1887" s="2" t="s">
        <v>122</v>
      </c>
      <c r="B1887" s="2">
        <v>810.99729000000002</v>
      </c>
      <c r="C1887" s="2" t="s">
        <v>11512</v>
      </c>
      <c r="D1887" s="2" t="s">
        <v>11511</v>
      </c>
      <c r="E1887" s="2" t="s">
        <v>121</v>
      </c>
      <c r="F1887" s="3">
        <v>42278</v>
      </c>
      <c r="G1887" s="2" t="str">
        <f>"9781609174682"</f>
        <v>9781609174682</v>
      </c>
      <c r="H1887" s="2" t="s">
        <v>14</v>
      </c>
      <c r="I1887" s="4">
        <v>42944.601388888892</v>
      </c>
      <c r="J1887" s="2" t="s">
        <v>11513</v>
      </c>
    </row>
    <row r="1888" spans="1:10" ht="135" x14ac:dyDescent="0.25">
      <c r="A1888" s="2" t="s">
        <v>122</v>
      </c>
      <c r="B1888" s="2">
        <v>892.71500000000003</v>
      </c>
      <c r="C1888" s="2" t="s">
        <v>8761</v>
      </c>
      <c r="D1888" s="2" t="s">
        <v>8760</v>
      </c>
      <c r="E1888" s="2" t="s">
        <v>310</v>
      </c>
      <c r="F1888" s="3">
        <v>42173</v>
      </c>
      <c r="G1888" s="2" t="str">
        <f>"9780815653158"</f>
        <v>9780815653158</v>
      </c>
      <c r="H1888" s="2" t="s">
        <v>14</v>
      </c>
      <c r="I1888" s="4">
        <v>43255.844444444447</v>
      </c>
      <c r="J1888" s="2" t="s">
        <v>8762</v>
      </c>
    </row>
    <row r="1889" spans="1:10" ht="135" x14ac:dyDescent="0.25">
      <c r="A1889" s="2" t="s">
        <v>122</v>
      </c>
      <c r="B1889" s="2" t="s">
        <v>1143</v>
      </c>
      <c r="C1889" s="2" t="s">
        <v>1144</v>
      </c>
      <c r="D1889" s="2" t="s">
        <v>1142</v>
      </c>
      <c r="E1889" s="2" t="s">
        <v>856</v>
      </c>
      <c r="F1889" s="3">
        <v>43051</v>
      </c>
      <c r="G1889" s="2" t="str">
        <f>"9780295742533"</f>
        <v>9780295742533</v>
      </c>
      <c r="H1889" s="2" t="s">
        <v>14</v>
      </c>
      <c r="I1889" s="4">
        <v>43960.384027777778</v>
      </c>
      <c r="J1889" s="2" t="s">
        <v>1145</v>
      </c>
    </row>
    <row r="1890" spans="1:10" ht="135" x14ac:dyDescent="0.25">
      <c r="A1890" s="2" t="s">
        <v>122</v>
      </c>
      <c r="B1890" s="2">
        <v>895.18020000000001</v>
      </c>
      <c r="D1890" s="2" t="s">
        <v>2179</v>
      </c>
      <c r="E1890" s="2" t="s">
        <v>221</v>
      </c>
      <c r="F1890" s="3">
        <v>43794</v>
      </c>
      <c r="G1890" s="2" t="str">
        <f>"9789882204508"</f>
        <v>9789882204508</v>
      </c>
      <c r="H1890" s="2" t="s">
        <v>14</v>
      </c>
      <c r="I1890" s="4">
        <v>43904.732638888891</v>
      </c>
      <c r="J1890" s="2" t="s">
        <v>2180</v>
      </c>
    </row>
    <row r="1891" spans="1:10" ht="135" x14ac:dyDescent="0.25">
      <c r="A1891" s="2" t="s">
        <v>122</v>
      </c>
      <c r="B1891" s="2">
        <v>810.9</v>
      </c>
      <c r="C1891" s="2" t="s">
        <v>6887</v>
      </c>
      <c r="D1891" s="2" t="s">
        <v>6886</v>
      </c>
      <c r="E1891" s="2" t="s">
        <v>322</v>
      </c>
      <c r="F1891" s="3">
        <v>42277</v>
      </c>
      <c r="G1891" s="2" t="str">
        <f>"9780820348230"</f>
        <v>9780820348230</v>
      </c>
      <c r="H1891" s="2" t="s">
        <v>14</v>
      </c>
      <c r="I1891" s="4">
        <v>43478.478472222225</v>
      </c>
      <c r="J1891" s="2" t="s">
        <v>6888</v>
      </c>
    </row>
    <row r="1892" spans="1:10" ht="225" x14ac:dyDescent="0.25">
      <c r="A1892" s="2" t="s">
        <v>122</v>
      </c>
      <c r="B1892" s="2">
        <v>861.62090000000001</v>
      </c>
      <c r="C1892" s="2" t="s">
        <v>3760</v>
      </c>
      <c r="D1892" s="2" t="s">
        <v>3759</v>
      </c>
      <c r="E1892" s="2" t="s">
        <v>156</v>
      </c>
      <c r="F1892" s="3">
        <v>41852</v>
      </c>
      <c r="G1892" s="2" t="str">
        <f>"9781469637846"</f>
        <v>9781469637846</v>
      </c>
      <c r="H1892" s="2" t="s">
        <v>14</v>
      </c>
      <c r="I1892" s="4">
        <v>43756.568055555559</v>
      </c>
      <c r="J1892" s="2" t="s">
        <v>3761</v>
      </c>
    </row>
    <row r="1893" spans="1:10" ht="135" x14ac:dyDescent="0.25">
      <c r="A1893" s="2" t="s">
        <v>122</v>
      </c>
      <c r="B1893" s="2">
        <v>809.93358438409996</v>
      </c>
      <c r="C1893" s="2" t="s">
        <v>1149</v>
      </c>
      <c r="D1893" s="2" t="s">
        <v>4813</v>
      </c>
      <c r="E1893" s="2" t="s">
        <v>101</v>
      </c>
      <c r="F1893" s="3">
        <v>43388</v>
      </c>
      <c r="G1893" s="2" t="str">
        <f>"9780810137912"</f>
        <v>9780810137912</v>
      </c>
      <c r="H1893" s="2" t="s">
        <v>14</v>
      </c>
      <c r="I1893" s="4">
        <v>43623.834027777775</v>
      </c>
      <c r="J1893" s="2" t="s">
        <v>4814</v>
      </c>
    </row>
    <row r="1894" spans="1:10" ht="135" x14ac:dyDescent="0.25">
      <c r="A1894" s="2" t="s">
        <v>122</v>
      </c>
      <c r="B1894" s="2" t="s">
        <v>437</v>
      </c>
      <c r="C1894" s="2" t="s">
        <v>6227</v>
      </c>
      <c r="D1894" s="2" t="s">
        <v>6226</v>
      </c>
      <c r="E1894" s="2" t="s">
        <v>4010</v>
      </c>
      <c r="F1894" s="3">
        <v>43060</v>
      </c>
      <c r="G1894" s="2" t="str">
        <f>"9780812294477"</f>
        <v>9780812294477</v>
      </c>
      <c r="H1894" s="2" t="s">
        <v>14</v>
      </c>
      <c r="I1894" s="4">
        <v>43531.474305555559</v>
      </c>
      <c r="J1894" s="2" t="s">
        <v>6228</v>
      </c>
    </row>
    <row r="1895" spans="1:10" ht="135" x14ac:dyDescent="0.25">
      <c r="A1895" s="2" t="s">
        <v>122</v>
      </c>
      <c r="B1895" s="2">
        <v>892.73093520999998</v>
      </c>
      <c r="C1895" s="2" t="s">
        <v>2919</v>
      </c>
      <c r="D1895" s="2" t="s">
        <v>2918</v>
      </c>
      <c r="E1895" s="2" t="s">
        <v>310</v>
      </c>
      <c r="F1895" s="3">
        <v>40155</v>
      </c>
      <c r="G1895" s="2" t="str">
        <f>"9780815650898"</f>
        <v>9780815650898</v>
      </c>
      <c r="H1895" s="2" t="s">
        <v>14</v>
      </c>
      <c r="I1895" s="4">
        <v>43843.763194444444</v>
      </c>
      <c r="J1895" s="2" t="s">
        <v>2920</v>
      </c>
    </row>
    <row r="1896" spans="1:10" ht="135" x14ac:dyDescent="0.25">
      <c r="A1896" s="2" t="s">
        <v>122</v>
      </c>
      <c r="B1896" s="2" t="s">
        <v>9847</v>
      </c>
      <c r="C1896" s="2" t="s">
        <v>9848</v>
      </c>
      <c r="D1896" s="2" t="s">
        <v>9846</v>
      </c>
      <c r="E1896" s="2" t="s">
        <v>164</v>
      </c>
      <c r="F1896" s="3">
        <v>42856</v>
      </c>
      <c r="G1896" s="2" t="str">
        <f>"9780826358165"</f>
        <v>9780826358165</v>
      </c>
      <c r="H1896" s="2" t="s">
        <v>14</v>
      </c>
      <c r="I1896" s="4">
        <v>43125.37222222222</v>
      </c>
      <c r="J1896" s="2" t="s">
        <v>9849</v>
      </c>
    </row>
    <row r="1897" spans="1:10" ht="135" x14ac:dyDescent="0.25">
      <c r="A1897" s="2" t="s">
        <v>122</v>
      </c>
      <c r="B1897" s="2">
        <v>821.8</v>
      </c>
      <c r="C1897" s="2" t="s">
        <v>9502</v>
      </c>
      <c r="D1897" s="2" t="s">
        <v>9501</v>
      </c>
      <c r="E1897" s="2" t="s">
        <v>28</v>
      </c>
      <c r="F1897" s="3">
        <v>42747</v>
      </c>
      <c r="G1897" s="2" t="str">
        <f>"9780813939322"</f>
        <v>9780813939322</v>
      </c>
      <c r="H1897" s="2" t="s">
        <v>14</v>
      </c>
      <c r="I1897" s="4">
        <v>43160.796527777777</v>
      </c>
      <c r="J1897" s="2" t="s">
        <v>9503</v>
      </c>
    </row>
    <row r="1898" spans="1:10" ht="135" x14ac:dyDescent="0.25">
      <c r="A1898" s="2" t="s">
        <v>122</v>
      </c>
      <c r="B1898" s="2">
        <v>810.93556000000001</v>
      </c>
      <c r="C1898" s="2" t="s">
        <v>2913</v>
      </c>
      <c r="D1898" s="2" t="s">
        <v>2912</v>
      </c>
      <c r="E1898" s="2" t="s">
        <v>54</v>
      </c>
      <c r="F1898" s="3">
        <v>43256</v>
      </c>
      <c r="G1898" s="2" t="str">
        <f>"9781503606081"</f>
        <v>9781503606081</v>
      </c>
      <c r="H1898" s="2" t="s">
        <v>14</v>
      </c>
      <c r="I1898" s="4">
        <v>43844.025000000001</v>
      </c>
      <c r="J1898" s="2" t="s">
        <v>2914</v>
      </c>
    </row>
    <row r="1899" spans="1:10" ht="135" x14ac:dyDescent="0.25">
      <c r="A1899" s="2" t="s">
        <v>122</v>
      </c>
      <c r="B1899" s="2">
        <v>821.91099286999997</v>
      </c>
      <c r="C1899" s="2" t="s">
        <v>11502</v>
      </c>
      <c r="D1899" s="2" t="s">
        <v>11501</v>
      </c>
      <c r="E1899" s="2" t="s">
        <v>2747</v>
      </c>
      <c r="F1899" s="3">
        <v>41878</v>
      </c>
      <c r="G1899" s="2" t="str">
        <f>"9781453909386"</f>
        <v>9781453909386</v>
      </c>
      <c r="H1899" s="2" t="s">
        <v>14</v>
      </c>
      <c r="I1899" s="4">
        <v>42946.484722222223</v>
      </c>
      <c r="J1899" s="2" t="s">
        <v>11503</v>
      </c>
    </row>
    <row r="1900" spans="1:10" ht="135" x14ac:dyDescent="0.25">
      <c r="A1900" s="2" t="s">
        <v>122</v>
      </c>
      <c r="B1900" s="2" t="s">
        <v>5174</v>
      </c>
      <c r="C1900" s="2" t="s">
        <v>5175</v>
      </c>
      <c r="D1900" s="2" t="s">
        <v>5173</v>
      </c>
      <c r="E1900" s="2" t="s">
        <v>256</v>
      </c>
      <c r="F1900" s="3">
        <v>41753</v>
      </c>
      <c r="G1900" s="2" t="str">
        <f>"9780821444832"</f>
        <v>9780821444832</v>
      </c>
      <c r="H1900" s="2" t="s">
        <v>14</v>
      </c>
      <c r="I1900" s="4">
        <v>43608.936805555553</v>
      </c>
      <c r="J1900" s="2" t="s">
        <v>5176</v>
      </c>
    </row>
    <row r="1901" spans="1:10" ht="135" x14ac:dyDescent="0.25">
      <c r="A1901" s="2" t="s">
        <v>122</v>
      </c>
      <c r="B1901" s="2">
        <v>822.33</v>
      </c>
      <c r="C1901" s="2" t="s">
        <v>11889</v>
      </c>
      <c r="D1901" s="2" t="s">
        <v>11888</v>
      </c>
      <c r="E1901" s="2" t="s">
        <v>674</v>
      </c>
      <c r="F1901" s="3">
        <v>42856</v>
      </c>
      <c r="G1901" s="2" t="str">
        <f>"9780823275533"</f>
        <v>9780823275533</v>
      </c>
      <c r="H1901" s="2" t="s">
        <v>14</v>
      </c>
      <c r="I1901" s="4">
        <v>42874.563194444447</v>
      </c>
      <c r="J1901" s="2" t="s">
        <v>11890</v>
      </c>
    </row>
    <row r="1902" spans="1:10" ht="135" x14ac:dyDescent="0.25">
      <c r="A1902" s="2" t="s">
        <v>122</v>
      </c>
      <c r="B1902" s="2">
        <v>873.01</v>
      </c>
      <c r="C1902" s="2" t="s">
        <v>5671</v>
      </c>
      <c r="D1902" s="2" t="s">
        <v>5670</v>
      </c>
      <c r="E1902" s="2" t="s">
        <v>69</v>
      </c>
      <c r="F1902" s="3">
        <v>43203</v>
      </c>
      <c r="G1902" s="2" t="str">
        <f>"9780253034496"</f>
        <v>9780253034496</v>
      </c>
      <c r="H1902" s="2" t="s">
        <v>14</v>
      </c>
      <c r="I1902" s="4">
        <v>43582.416666666664</v>
      </c>
      <c r="J1902" s="2" t="s">
        <v>5672</v>
      </c>
    </row>
    <row r="1903" spans="1:10" ht="135" x14ac:dyDescent="0.25">
      <c r="A1903" s="2" t="s">
        <v>122</v>
      </c>
      <c r="B1903" s="2" t="s">
        <v>1204</v>
      </c>
      <c r="C1903" s="2" t="s">
        <v>1205</v>
      </c>
      <c r="D1903" s="2" t="s">
        <v>1203</v>
      </c>
      <c r="E1903" s="2" t="s">
        <v>390</v>
      </c>
      <c r="F1903" s="3">
        <v>43054</v>
      </c>
      <c r="G1903" s="2" t="str">
        <f>"9780268100834"</f>
        <v>9780268100834</v>
      </c>
      <c r="H1903" s="2" t="s">
        <v>14</v>
      </c>
      <c r="I1903" s="4">
        <v>43956.519444444442</v>
      </c>
      <c r="J1903" s="2" t="s">
        <v>1206</v>
      </c>
    </row>
    <row r="1904" spans="1:10" ht="135" x14ac:dyDescent="0.25">
      <c r="A1904" s="2" t="s">
        <v>122</v>
      </c>
      <c r="B1904" s="2">
        <v>811.52</v>
      </c>
      <c r="C1904" s="2" t="s">
        <v>3747</v>
      </c>
      <c r="D1904" s="2" t="s">
        <v>3746</v>
      </c>
      <c r="E1904" s="2" t="s">
        <v>130</v>
      </c>
      <c r="F1904" s="3">
        <v>43606</v>
      </c>
      <c r="G1904" s="2" t="str">
        <f>"9780813057088"</f>
        <v>9780813057088</v>
      </c>
      <c r="H1904" s="2" t="s">
        <v>14</v>
      </c>
      <c r="I1904" s="4">
        <v>43759.337500000001</v>
      </c>
      <c r="J1904" s="2" t="s">
        <v>3748</v>
      </c>
    </row>
    <row r="1905" spans="1:10" ht="135" x14ac:dyDescent="0.25">
      <c r="A1905" s="2" t="s">
        <v>122</v>
      </c>
      <c r="B1905" s="2" t="s">
        <v>9874</v>
      </c>
      <c r="C1905" s="2" t="s">
        <v>9875</v>
      </c>
      <c r="D1905" s="2" t="s">
        <v>9873</v>
      </c>
      <c r="E1905" s="2" t="s">
        <v>674</v>
      </c>
      <c r="F1905" s="3">
        <v>42006</v>
      </c>
      <c r="G1905" s="2" t="str">
        <f>"9780823263462"</f>
        <v>9780823263462</v>
      </c>
      <c r="H1905" s="2" t="s">
        <v>14</v>
      </c>
      <c r="I1905" s="4">
        <v>43123.5625</v>
      </c>
      <c r="J1905" s="2" t="s">
        <v>9876</v>
      </c>
    </row>
    <row r="1906" spans="1:10" ht="135" x14ac:dyDescent="0.25">
      <c r="A1906" s="2" t="s">
        <v>122</v>
      </c>
      <c r="B1906" s="2">
        <v>820.93564000000003</v>
      </c>
      <c r="C1906" s="2" t="s">
        <v>3453</v>
      </c>
      <c r="D1906" s="2" t="s">
        <v>3452</v>
      </c>
      <c r="E1906" s="2" t="s">
        <v>130</v>
      </c>
      <c r="F1906" s="3">
        <v>43501</v>
      </c>
      <c r="G1906" s="2" t="str">
        <f>"9780813052496"</f>
        <v>9780813052496</v>
      </c>
      <c r="H1906" s="2" t="s">
        <v>14</v>
      </c>
      <c r="I1906" s="4">
        <v>43781.491666666669</v>
      </c>
      <c r="J1906" s="2" t="s">
        <v>3454</v>
      </c>
    </row>
    <row r="1907" spans="1:10" ht="135" x14ac:dyDescent="0.25">
      <c r="A1907" s="2" t="s">
        <v>122</v>
      </c>
      <c r="B1907" s="2" t="s">
        <v>4106</v>
      </c>
      <c r="C1907" s="2" t="s">
        <v>4107</v>
      </c>
      <c r="D1907" s="2" t="s">
        <v>4105</v>
      </c>
      <c r="E1907" s="2" t="s">
        <v>41</v>
      </c>
      <c r="F1907" s="3">
        <v>42843</v>
      </c>
      <c r="G1907" s="2" t="str">
        <f>"9780817391096"</f>
        <v>9780817391096</v>
      </c>
      <c r="H1907" s="2" t="s">
        <v>14</v>
      </c>
      <c r="I1907" s="4">
        <v>43712.533333333333</v>
      </c>
      <c r="J1907" s="2" t="s">
        <v>4108</v>
      </c>
    </row>
    <row r="1908" spans="1:10" ht="135" x14ac:dyDescent="0.25">
      <c r="A1908" s="2" t="s">
        <v>122</v>
      </c>
      <c r="B1908" s="2">
        <v>809.93356000000006</v>
      </c>
      <c r="C1908" s="2" t="s">
        <v>6872</v>
      </c>
      <c r="D1908" s="2" t="s">
        <v>6871</v>
      </c>
      <c r="E1908" s="2" t="s">
        <v>130</v>
      </c>
      <c r="F1908" s="3">
        <v>43438</v>
      </c>
      <c r="G1908" s="2" t="str">
        <f>"9780813052434"</f>
        <v>9780813052434</v>
      </c>
      <c r="H1908" s="2" t="s">
        <v>14</v>
      </c>
      <c r="I1908" s="4">
        <v>43480.429861111108</v>
      </c>
      <c r="J1908" s="2" t="s">
        <v>6873</v>
      </c>
    </row>
    <row r="1909" spans="1:10" ht="240" x14ac:dyDescent="0.25">
      <c r="A1909" s="2" t="s">
        <v>122</v>
      </c>
      <c r="B1909" s="2">
        <v>800</v>
      </c>
      <c r="C1909" s="2" t="s">
        <v>619</v>
      </c>
      <c r="D1909" s="2" t="s">
        <v>6539</v>
      </c>
      <c r="E1909" s="2" t="s">
        <v>37</v>
      </c>
      <c r="F1909" s="3">
        <v>43010</v>
      </c>
      <c r="G1909" s="2" t="str">
        <f>"9783319673226"</f>
        <v>9783319673226</v>
      </c>
      <c r="H1909" s="2" t="s">
        <v>14</v>
      </c>
      <c r="I1909" s="4">
        <v>43509.481944444444</v>
      </c>
      <c r="J1909" s="2" t="s">
        <v>6540</v>
      </c>
    </row>
    <row r="1910" spans="1:10" ht="150" x14ac:dyDescent="0.25">
      <c r="A1910" s="2" t="s">
        <v>122</v>
      </c>
      <c r="B1910" s="2" t="s">
        <v>5161</v>
      </c>
      <c r="C1910" s="2" t="s">
        <v>2712</v>
      </c>
      <c r="D1910" s="2" t="s">
        <v>5160</v>
      </c>
      <c r="E1910" s="2" t="s">
        <v>41</v>
      </c>
      <c r="F1910" s="3">
        <v>43501</v>
      </c>
      <c r="G1910" s="2" t="str">
        <f>"9780817392185"</f>
        <v>9780817392185</v>
      </c>
      <c r="H1910" s="2" t="s">
        <v>14</v>
      </c>
      <c r="I1910" s="4">
        <v>43609.783333333333</v>
      </c>
      <c r="J1910" s="2" t="s">
        <v>5162</v>
      </c>
    </row>
    <row r="1911" spans="1:10" ht="135" x14ac:dyDescent="0.25">
      <c r="A1911" s="2" t="s">
        <v>122</v>
      </c>
      <c r="B1911" s="2" t="s">
        <v>12708</v>
      </c>
      <c r="C1911" s="2" t="s">
        <v>12709</v>
      </c>
      <c r="D1911" s="2" t="s">
        <v>12707</v>
      </c>
      <c r="E1911" s="2" t="s">
        <v>54</v>
      </c>
      <c r="F1911" s="3">
        <v>41801</v>
      </c>
      <c r="G1911" s="2" t="str">
        <f>"9780804791830"</f>
        <v>9780804791830</v>
      </c>
      <c r="H1911" s="2" t="s">
        <v>14</v>
      </c>
      <c r="I1911" s="4">
        <v>42781.429166666669</v>
      </c>
      <c r="J1911" s="2" t="s">
        <v>12710</v>
      </c>
    </row>
    <row r="1912" spans="1:10" ht="135" x14ac:dyDescent="0.25">
      <c r="A1912" s="2" t="s">
        <v>122</v>
      </c>
      <c r="B1912" s="2">
        <v>844.3</v>
      </c>
      <c r="C1912" s="2" t="s">
        <v>5934</v>
      </c>
      <c r="D1912" s="2" t="s">
        <v>5933</v>
      </c>
      <c r="E1912" s="2" t="s">
        <v>705</v>
      </c>
      <c r="F1912" s="3">
        <v>42759</v>
      </c>
      <c r="G1912" s="2" t="str">
        <f>"9781400883394"</f>
        <v>9781400883394</v>
      </c>
      <c r="H1912" s="2" t="s">
        <v>14</v>
      </c>
      <c r="I1912" s="4">
        <v>43556.518055555556</v>
      </c>
      <c r="J1912" s="2" t="s">
        <v>5935</v>
      </c>
    </row>
    <row r="1913" spans="1:10" ht="135" x14ac:dyDescent="0.25">
      <c r="A1913" s="2" t="s">
        <v>122</v>
      </c>
      <c r="B1913" s="2">
        <v>861.62</v>
      </c>
      <c r="C1913" s="2" t="s">
        <v>7266</v>
      </c>
      <c r="D1913" s="2" t="s">
        <v>7265</v>
      </c>
      <c r="E1913" s="2" t="s">
        <v>65</v>
      </c>
      <c r="F1913" s="3">
        <v>43027</v>
      </c>
      <c r="G1913" s="2" t="str">
        <f>"9780806159737"</f>
        <v>9780806159737</v>
      </c>
      <c r="H1913" s="2" t="s">
        <v>14</v>
      </c>
      <c r="I1913" s="4">
        <v>43430.60833333333</v>
      </c>
      <c r="J1913" s="2" t="s">
        <v>7267</v>
      </c>
    </row>
    <row r="1914" spans="1:10" ht="135" x14ac:dyDescent="0.25">
      <c r="A1914" s="2" t="s">
        <v>122</v>
      </c>
      <c r="B1914" s="2">
        <v>813.52</v>
      </c>
      <c r="C1914" s="2" t="s">
        <v>9056</v>
      </c>
      <c r="D1914" s="2" t="s">
        <v>9055</v>
      </c>
      <c r="E1914" s="2" t="s">
        <v>4660</v>
      </c>
      <c r="F1914" s="3">
        <v>29099</v>
      </c>
      <c r="G1914" s="2" t="str">
        <f>"9780813158211"</f>
        <v>9780813158211</v>
      </c>
      <c r="H1914" s="2" t="s">
        <v>14</v>
      </c>
      <c r="I1914" s="4">
        <v>43221.004861111112</v>
      </c>
      <c r="J1914" s="2" t="s">
        <v>9057</v>
      </c>
    </row>
    <row r="1915" spans="1:10" ht="135" x14ac:dyDescent="0.25">
      <c r="A1915" s="2" t="s">
        <v>122</v>
      </c>
      <c r="B1915" s="2">
        <v>895.10900500000002</v>
      </c>
      <c r="C1915" s="2" t="s">
        <v>8906</v>
      </c>
      <c r="D1915" s="2" t="s">
        <v>8905</v>
      </c>
      <c r="E1915" s="2" t="s">
        <v>221</v>
      </c>
      <c r="F1915" s="3">
        <v>41699</v>
      </c>
      <c r="G1915" s="2" t="str">
        <f>"9789888268344"</f>
        <v>9789888268344</v>
      </c>
      <c r="H1915" s="2" t="s">
        <v>14</v>
      </c>
      <c r="I1915" s="4">
        <v>43241.577777777777</v>
      </c>
      <c r="J1915" s="2" t="s">
        <v>8907</v>
      </c>
    </row>
    <row r="1916" spans="1:10" ht="135" x14ac:dyDescent="0.25">
      <c r="A1916" s="2" t="s">
        <v>122</v>
      </c>
      <c r="B1916" s="2" t="s">
        <v>137</v>
      </c>
      <c r="C1916" s="2" t="s">
        <v>619</v>
      </c>
      <c r="D1916" s="2" t="s">
        <v>7476</v>
      </c>
      <c r="E1916" s="2" t="s">
        <v>618</v>
      </c>
      <c r="F1916" s="3">
        <v>42614</v>
      </c>
      <c r="G1916" s="2" t="str">
        <f>"9781137592217"</f>
        <v>9781137592217</v>
      </c>
      <c r="H1916" s="2" t="s">
        <v>14</v>
      </c>
      <c r="I1916" s="4">
        <v>43414.477083333331</v>
      </c>
      <c r="J1916" s="2" t="s">
        <v>7477</v>
      </c>
    </row>
    <row r="1917" spans="1:10" ht="135" x14ac:dyDescent="0.25">
      <c r="A1917" s="2" t="s">
        <v>122</v>
      </c>
      <c r="B1917" s="2">
        <v>809.93592000000001</v>
      </c>
      <c r="C1917" s="2" t="s">
        <v>11557</v>
      </c>
      <c r="D1917" s="2" t="s">
        <v>11556</v>
      </c>
      <c r="E1917" s="2" t="s">
        <v>80</v>
      </c>
      <c r="F1917" s="3">
        <v>42124</v>
      </c>
      <c r="G1917" s="2" t="str">
        <f>"9783653045048"</f>
        <v>9783653045048</v>
      </c>
      <c r="H1917" s="2" t="s">
        <v>14</v>
      </c>
      <c r="I1917" s="4">
        <v>42930.618750000001</v>
      </c>
      <c r="J1917" s="2" t="s">
        <v>11558</v>
      </c>
    </row>
    <row r="1918" spans="1:10" ht="135" x14ac:dyDescent="0.25">
      <c r="A1918" s="2" t="s">
        <v>122</v>
      </c>
      <c r="B1918" s="2">
        <v>811.54089999999997</v>
      </c>
      <c r="C1918" s="2" t="s">
        <v>7979</v>
      </c>
      <c r="D1918" s="2" t="s">
        <v>7978</v>
      </c>
      <c r="E1918" s="2" t="s">
        <v>54</v>
      </c>
      <c r="F1918" s="3">
        <v>43263</v>
      </c>
      <c r="G1918" s="2" t="str">
        <f>"9781503606579"</f>
        <v>9781503606579</v>
      </c>
      <c r="H1918" s="2" t="s">
        <v>14</v>
      </c>
      <c r="I1918" s="4">
        <v>43369.572916666664</v>
      </c>
      <c r="J1918" s="2" t="s">
        <v>7980</v>
      </c>
    </row>
    <row r="1919" spans="1:10" ht="210" x14ac:dyDescent="0.25">
      <c r="A1919" s="2" t="s">
        <v>122</v>
      </c>
      <c r="B1919" s="2">
        <v>809.89282000000003</v>
      </c>
      <c r="C1919" s="2" t="s">
        <v>10913</v>
      </c>
      <c r="D1919" s="2" t="s">
        <v>10912</v>
      </c>
      <c r="E1919" s="2" t="s">
        <v>80</v>
      </c>
      <c r="F1919" s="3">
        <v>41835</v>
      </c>
      <c r="G1919" s="2" t="str">
        <f>"9783653044812"</f>
        <v>9783653044812</v>
      </c>
      <c r="H1919" s="2" t="s">
        <v>14</v>
      </c>
      <c r="I1919" s="4">
        <v>43029.62777777778</v>
      </c>
      <c r="J1919" s="2" t="s">
        <v>10914</v>
      </c>
    </row>
    <row r="1920" spans="1:10" ht="135" x14ac:dyDescent="0.25">
      <c r="A1920" s="2" t="s">
        <v>122</v>
      </c>
      <c r="B1920" s="2" t="s">
        <v>9052</v>
      </c>
      <c r="C1920" s="2" t="s">
        <v>9053</v>
      </c>
      <c r="D1920" s="2" t="s">
        <v>9051</v>
      </c>
      <c r="E1920" s="2" t="s">
        <v>4660</v>
      </c>
      <c r="F1920" s="3">
        <v>42230</v>
      </c>
      <c r="G1920" s="2" t="str">
        <f>"9780813165745"</f>
        <v>9780813165745</v>
      </c>
      <c r="H1920" s="2" t="s">
        <v>14</v>
      </c>
      <c r="I1920" s="4">
        <v>43221.009722222225</v>
      </c>
      <c r="J1920" s="2" t="s">
        <v>9054</v>
      </c>
    </row>
    <row r="1921" spans="1:10" ht="135" x14ac:dyDescent="0.25">
      <c r="A1921" s="2" t="s">
        <v>122</v>
      </c>
      <c r="B1921" s="2">
        <v>811.60900000000004</v>
      </c>
      <c r="C1921" s="2" t="s">
        <v>864</v>
      </c>
      <c r="D1921" s="2" t="s">
        <v>12794</v>
      </c>
      <c r="E1921" s="2" t="s">
        <v>6704</v>
      </c>
      <c r="F1921" s="3">
        <v>41501</v>
      </c>
      <c r="G1921" s="2" t="str">
        <f>"9780801469589"</f>
        <v>9780801469589</v>
      </c>
      <c r="H1921" s="2" t="s">
        <v>14</v>
      </c>
      <c r="I1921" s="4">
        <v>42773.715277777781</v>
      </c>
      <c r="J1921" s="2" t="s">
        <v>12795</v>
      </c>
    </row>
    <row r="1922" spans="1:10" ht="135" x14ac:dyDescent="0.25">
      <c r="A1922" s="2" t="s">
        <v>122</v>
      </c>
      <c r="B1922" s="2">
        <v>801.95092</v>
      </c>
      <c r="C1922" s="2" t="s">
        <v>289</v>
      </c>
      <c r="D1922" s="2" t="s">
        <v>287</v>
      </c>
      <c r="E1922" s="2" t="s">
        <v>288</v>
      </c>
      <c r="F1922" s="3">
        <v>43348</v>
      </c>
      <c r="G1922" s="2" t="str">
        <f>"9780776626710"</f>
        <v>9780776626710</v>
      </c>
      <c r="H1922" s="2" t="s">
        <v>14</v>
      </c>
      <c r="I1922" s="4">
        <v>44047.369444444441</v>
      </c>
      <c r="J1922" s="2" t="s">
        <v>290</v>
      </c>
    </row>
    <row r="1923" spans="1:10" ht="135" x14ac:dyDescent="0.25">
      <c r="A1923" s="2" t="s">
        <v>122</v>
      </c>
      <c r="B1923" s="2">
        <v>801.95092</v>
      </c>
      <c r="C1923" s="2" t="s">
        <v>1392</v>
      </c>
      <c r="D1923" s="2" t="s">
        <v>1391</v>
      </c>
      <c r="E1923" s="2" t="s">
        <v>288</v>
      </c>
      <c r="F1923" s="3">
        <v>42963</v>
      </c>
      <c r="G1923" s="2" t="str">
        <f>"9780776625454"</f>
        <v>9780776625454</v>
      </c>
      <c r="H1923" s="2" t="s">
        <v>14</v>
      </c>
      <c r="I1923" s="4">
        <v>43945.55</v>
      </c>
      <c r="J1923" s="2" t="s">
        <v>1393</v>
      </c>
    </row>
    <row r="1924" spans="1:10" ht="150" x14ac:dyDescent="0.25">
      <c r="A1924" s="2" t="s">
        <v>122</v>
      </c>
      <c r="B1924" s="2">
        <v>809.93358000000001</v>
      </c>
      <c r="C1924" s="2" t="s">
        <v>9486</v>
      </c>
      <c r="D1924" s="2" t="s">
        <v>9485</v>
      </c>
      <c r="E1924" s="2" t="s">
        <v>328</v>
      </c>
      <c r="F1924" s="3">
        <v>41522</v>
      </c>
      <c r="G1924" s="2" t="str">
        <f>"9780739175033"</f>
        <v>9780739175033</v>
      </c>
      <c r="H1924" s="2" t="s">
        <v>14</v>
      </c>
      <c r="I1924" s="4">
        <v>43162.407638888886</v>
      </c>
      <c r="J1924" s="2" t="s">
        <v>9487</v>
      </c>
    </row>
    <row r="1925" spans="1:10" ht="135" x14ac:dyDescent="0.25">
      <c r="A1925" s="2" t="s">
        <v>122</v>
      </c>
      <c r="B1925" s="2">
        <v>823.00900000000001</v>
      </c>
      <c r="C1925" s="2" t="s">
        <v>6498</v>
      </c>
      <c r="D1925" s="2" t="s">
        <v>6497</v>
      </c>
      <c r="E1925" s="2" t="s">
        <v>585</v>
      </c>
      <c r="F1925" s="3">
        <v>42566</v>
      </c>
      <c r="G1925" s="2" t="str">
        <f>"9780226369792"</f>
        <v>9780226369792</v>
      </c>
      <c r="H1925" s="2" t="s">
        <v>14</v>
      </c>
      <c r="I1925" s="4">
        <v>43513.138194444444</v>
      </c>
      <c r="J1925" s="2" t="s">
        <v>6499</v>
      </c>
    </row>
    <row r="1926" spans="1:10" ht="135" x14ac:dyDescent="0.25">
      <c r="A1926" s="2" t="s">
        <v>122</v>
      </c>
      <c r="B1926" s="2">
        <v>813.54</v>
      </c>
      <c r="C1926" s="2" t="s">
        <v>8264</v>
      </c>
      <c r="D1926" s="2" t="s">
        <v>8263</v>
      </c>
      <c r="E1926" s="2" t="s">
        <v>322</v>
      </c>
      <c r="F1926" s="3">
        <v>42856</v>
      </c>
      <c r="G1926" s="2" t="str">
        <f>"9780820350899"</f>
        <v>9780820350899</v>
      </c>
      <c r="H1926" s="2" t="s">
        <v>14</v>
      </c>
      <c r="I1926" s="4">
        <v>43329.457638888889</v>
      </c>
      <c r="J1926" s="2" t="s">
        <v>8265</v>
      </c>
    </row>
    <row r="1927" spans="1:10" ht="135" x14ac:dyDescent="0.25">
      <c r="A1927" s="2" t="s">
        <v>122</v>
      </c>
      <c r="B1927" s="2">
        <v>848.91408999999999</v>
      </c>
      <c r="C1927" s="2" t="s">
        <v>8289</v>
      </c>
      <c r="D1927" s="2" t="s">
        <v>8288</v>
      </c>
      <c r="E1927" s="2" t="s">
        <v>867</v>
      </c>
      <c r="F1927" s="3">
        <v>42115</v>
      </c>
      <c r="G1927" s="2" t="str">
        <f>"9781611495621"</f>
        <v>9781611495621</v>
      </c>
      <c r="H1927" s="2" t="s">
        <v>14</v>
      </c>
      <c r="I1927" s="4">
        <v>43326.537499999999</v>
      </c>
      <c r="J1927" s="2" t="s">
        <v>8290</v>
      </c>
    </row>
    <row r="1928" spans="1:10" ht="135" x14ac:dyDescent="0.25">
      <c r="A1928" s="2" t="s">
        <v>122</v>
      </c>
      <c r="B1928" s="2" t="s">
        <v>137</v>
      </c>
      <c r="C1928" s="2" t="s">
        <v>169</v>
      </c>
      <c r="D1928" s="2" t="s">
        <v>7462</v>
      </c>
      <c r="E1928" s="2" t="s">
        <v>578</v>
      </c>
      <c r="F1928" s="3">
        <v>42674</v>
      </c>
      <c r="G1928" s="2" t="str">
        <f>"9780252099106"</f>
        <v>9780252099106</v>
      </c>
      <c r="H1928" s="2" t="s">
        <v>14</v>
      </c>
      <c r="I1928" s="4">
        <v>43415.491666666669</v>
      </c>
      <c r="J1928" s="2" t="s">
        <v>7463</v>
      </c>
    </row>
    <row r="1929" spans="1:10" ht="135" x14ac:dyDescent="0.25">
      <c r="A1929" s="2" t="s">
        <v>122</v>
      </c>
      <c r="B1929" s="2">
        <v>822.33</v>
      </c>
      <c r="C1929" s="2" t="s">
        <v>8758</v>
      </c>
      <c r="D1929" s="2" t="s">
        <v>8757</v>
      </c>
      <c r="E1929" s="2" t="s">
        <v>723</v>
      </c>
      <c r="F1929" s="3">
        <v>43174</v>
      </c>
      <c r="G1929" s="2" t="str">
        <f>"9781612495415"</f>
        <v>9781612495415</v>
      </c>
      <c r="H1929" s="2" t="s">
        <v>14</v>
      </c>
      <c r="I1929" s="4">
        <v>43257.55</v>
      </c>
      <c r="J1929" s="2" t="s">
        <v>8759</v>
      </c>
    </row>
    <row r="1930" spans="1:10" ht="135" x14ac:dyDescent="0.25">
      <c r="A1930" s="2" t="s">
        <v>122</v>
      </c>
      <c r="B1930" s="2" t="s">
        <v>6591</v>
      </c>
      <c r="C1930" s="2" t="s">
        <v>6592</v>
      </c>
      <c r="D1930" s="2" t="s">
        <v>6590</v>
      </c>
      <c r="E1930" s="2" t="s">
        <v>526</v>
      </c>
      <c r="F1930" s="3">
        <v>41593</v>
      </c>
      <c r="G1930" s="2" t="str">
        <f>"9780292748422"</f>
        <v>9780292748422</v>
      </c>
      <c r="H1930" s="2" t="s">
        <v>14</v>
      </c>
      <c r="I1930" s="4">
        <v>43505.676388888889</v>
      </c>
      <c r="J1930" s="2" t="s">
        <v>6593</v>
      </c>
    </row>
    <row r="1931" spans="1:10" ht="135" x14ac:dyDescent="0.25">
      <c r="A1931" s="2" t="s">
        <v>122</v>
      </c>
      <c r="B1931" s="2">
        <v>808.81</v>
      </c>
      <c r="C1931" s="2" t="s">
        <v>9427</v>
      </c>
      <c r="D1931" s="2" t="s">
        <v>9425</v>
      </c>
      <c r="E1931" s="2" t="s">
        <v>9426</v>
      </c>
      <c r="F1931" s="3">
        <v>42884</v>
      </c>
      <c r="G1931" s="2" t="str">
        <f>"9780702260612"</f>
        <v>9780702260612</v>
      </c>
      <c r="H1931" s="2" t="s">
        <v>14</v>
      </c>
      <c r="I1931" s="4">
        <v>43168.495833333334</v>
      </c>
      <c r="J1931" s="2" t="s">
        <v>9428</v>
      </c>
    </row>
    <row r="1932" spans="1:10" ht="135" x14ac:dyDescent="0.25">
      <c r="A1932" s="2" t="s">
        <v>122</v>
      </c>
      <c r="B1932" s="2">
        <v>843.92</v>
      </c>
      <c r="C1932" s="2" t="s">
        <v>8103</v>
      </c>
      <c r="D1932" s="2" t="s">
        <v>8101</v>
      </c>
      <c r="E1932" s="2" t="s">
        <v>8102</v>
      </c>
      <c r="F1932" s="3">
        <v>42485</v>
      </c>
      <c r="G1932" s="2" t="str">
        <f>"9781941920336"</f>
        <v>9781941920336</v>
      </c>
      <c r="H1932" s="2" t="s">
        <v>14</v>
      </c>
      <c r="I1932" s="4">
        <v>43352.527083333334</v>
      </c>
      <c r="J1932" s="2" t="s">
        <v>8104</v>
      </c>
    </row>
    <row r="1933" spans="1:10" ht="135" x14ac:dyDescent="0.25">
      <c r="A1933" s="2" t="s">
        <v>122</v>
      </c>
      <c r="B1933" s="2" t="s">
        <v>9833</v>
      </c>
      <c r="C1933" s="2" t="s">
        <v>12041</v>
      </c>
      <c r="D1933" s="2" t="s">
        <v>12040</v>
      </c>
      <c r="E1933" s="2" t="s">
        <v>130</v>
      </c>
      <c r="F1933" s="3">
        <v>42038</v>
      </c>
      <c r="G1933" s="2" t="str">
        <f>"9780813055183"</f>
        <v>9780813055183</v>
      </c>
      <c r="H1933" s="2" t="s">
        <v>14</v>
      </c>
      <c r="I1933" s="4">
        <v>42859.715277777781</v>
      </c>
      <c r="J1933" s="2" t="s">
        <v>12042</v>
      </c>
    </row>
    <row r="1934" spans="1:10" ht="135" x14ac:dyDescent="0.25">
      <c r="A1934" s="2" t="s">
        <v>122</v>
      </c>
      <c r="B1934" s="2">
        <v>809.04</v>
      </c>
      <c r="C1934" s="2" t="s">
        <v>6258</v>
      </c>
      <c r="D1934" s="2" t="s">
        <v>6257</v>
      </c>
      <c r="E1934" s="2" t="s">
        <v>216</v>
      </c>
      <c r="F1934" s="3">
        <v>42705</v>
      </c>
      <c r="G1934" s="2" t="str">
        <f>"9781438463100"</f>
        <v>9781438463100</v>
      </c>
      <c r="H1934" s="2" t="s">
        <v>14</v>
      </c>
      <c r="I1934" s="4">
        <v>43528.856249999997</v>
      </c>
      <c r="J1934" s="2" t="s">
        <v>6259</v>
      </c>
    </row>
    <row r="1935" spans="1:10" ht="135" x14ac:dyDescent="0.25">
      <c r="A1935" s="2" t="s">
        <v>122</v>
      </c>
      <c r="B1935" s="2" t="s">
        <v>2034</v>
      </c>
      <c r="C1935" s="2" t="s">
        <v>2035</v>
      </c>
      <c r="D1935" s="2" t="s">
        <v>2033</v>
      </c>
      <c r="E1935" s="2" t="s">
        <v>28</v>
      </c>
      <c r="F1935" s="3">
        <v>42241</v>
      </c>
      <c r="G1935" s="2" t="str">
        <f>"9780813938189"</f>
        <v>9780813938189</v>
      </c>
      <c r="H1935" s="2" t="s">
        <v>14</v>
      </c>
      <c r="I1935" s="4">
        <v>43916.770138888889</v>
      </c>
      <c r="J1935" s="2" t="s">
        <v>2036</v>
      </c>
    </row>
    <row r="1936" spans="1:10" ht="135" x14ac:dyDescent="0.25">
      <c r="A1936" s="2" t="s">
        <v>122</v>
      </c>
      <c r="B1936" s="2" t="s">
        <v>7278</v>
      </c>
      <c r="C1936" s="2" t="s">
        <v>7279</v>
      </c>
      <c r="D1936" s="2" t="s">
        <v>7277</v>
      </c>
      <c r="E1936" s="2" t="s">
        <v>54</v>
      </c>
      <c r="F1936" s="3">
        <v>43249</v>
      </c>
      <c r="G1936" s="2" t="str">
        <f>"9781503606135"</f>
        <v>9781503606135</v>
      </c>
      <c r="H1936" s="2" t="s">
        <v>14</v>
      </c>
      <c r="I1936" s="4">
        <v>43429.685416666667</v>
      </c>
      <c r="J1936" s="2" t="s">
        <v>7280</v>
      </c>
    </row>
    <row r="1937" spans="1:10" ht="135" x14ac:dyDescent="0.25">
      <c r="A1937" s="2" t="s">
        <v>122</v>
      </c>
      <c r="B1937" s="2">
        <v>811.60809979999999</v>
      </c>
      <c r="C1937" s="2" t="s">
        <v>1323</v>
      </c>
      <c r="D1937" s="2" t="s">
        <v>1322</v>
      </c>
      <c r="E1937" s="2" t="s">
        <v>65</v>
      </c>
      <c r="F1937" s="3">
        <v>43580</v>
      </c>
      <c r="G1937" s="2" t="str">
        <f>"9780806163376"</f>
        <v>9780806163376</v>
      </c>
      <c r="H1937" s="2" t="s">
        <v>14</v>
      </c>
      <c r="I1937" s="4">
        <v>43949.315972222219</v>
      </c>
      <c r="J1937" s="2" t="s">
        <v>1324</v>
      </c>
    </row>
    <row r="1938" spans="1:10" ht="135" x14ac:dyDescent="0.25">
      <c r="A1938" s="2" t="s">
        <v>122</v>
      </c>
      <c r="B1938" s="2">
        <v>820.93520431000002</v>
      </c>
      <c r="C1938" s="2" t="s">
        <v>12514</v>
      </c>
      <c r="D1938" s="2" t="s">
        <v>12513</v>
      </c>
      <c r="E1938" s="2" t="s">
        <v>8718</v>
      </c>
      <c r="F1938" s="3">
        <v>41725</v>
      </c>
      <c r="G1938" s="2" t="str">
        <f>"9781611476385"</f>
        <v>9781611476385</v>
      </c>
      <c r="H1938" s="2" t="s">
        <v>14</v>
      </c>
      <c r="I1938" s="4">
        <v>42800.739583333336</v>
      </c>
      <c r="J1938" s="2" t="s">
        <v>12515</v>
      </c>
    </row>
    <row r="1939" spans="1:10" ht="135" x14ac:dyDescent="0.25">
      <c r="A1939" s="2" t="s">
        <v>122</v>
      </c>
      <c r="B1939" s="2" t="s">
        <v>2387</v>
      </c>
      <c r="C1939" s="2" t="s">
        <v>2388</v>
      </c>
      <c r="D1939" s="2" t="s">
        <v>2386</v>
      </c>
      <c r="E1939" s="2" t="s">
        <v>130</v>
      </c>
      <c r="F1939" s="3">
        <v>43886</v>
      </c>
      <c r="G1939" s="2" t="str">
        <f>"9780813057439"</f>
        <v>9780813057439</v>
      </c>
      <c r="H1939" s="2" t="s">
        <v>14</v>
      </c>
      <c r="I1939" s="4">
        <v>43888.606249999997</v>
      </c>
      <c r="J1939" s="2" t="s">
        <v>2389</v>
      </c>
    </row>
    <row r="1940" spans="1:10" ht="135" x14ac:dyDescent="0.25">
      <c r="A1940" s="2" t="s">
        <v>122</v>
      </c>
      <c r="B1940" s="2" t="s">
        <v>4132</v>
      </c>
      <c r="C1940" s="2" t="s">
        <v>123</v>
      </c>
      <c r="D1940" s="2" t="s">
        <v>4131</v>
      </c>
      <c r="E1940" s="2" t="s">
        <v>41</v>
      </c>
      <c r="F1940" s="3">
        <v>41698</v>
      </c>
      <c r="G1940" s="2" t="str">
        <f>"9780817387198"</f>
        <v>9780817387198</v>
      </c>
      <c r="H1940" s="2" t="s">
        <v>14</v>
      </c>
      <c r="I1940" s="4">
        <v>43709.459722222222</v>
      </c>
      <c r="J1940" s="2" t="s">
        <v>4133</v>
      </c>
    </row>
    <row r="1941" spans="1:10" ht="135" x14ac:dyDescent="0.25">
      <c r="A1941" s="2" t="s">
        <v>122</v>
      </c>
      <c r="C1941" s="2" t="s">
        <v>161</v>
      </c>
      <c r="D1941" s="2" t="s">
        <v>160</v>
      </c>
      <c r="E1941" s="2" t="s">
        <v>11</v>
      </c>
      <c r="F1941" s="3">
        <v>43869</v>
      </c>
      <c r="G1941" s="2" t="str">
        <f>"9780813232478"</f>
        <v>9780813232478</v>
      </c>
      <c r="H1941" s="2" t="s">
        <v>14</v>
      </c>
      <c r="I1941" s="4">
        <v>44067.203472222223</v>
      </c>
      <c r="J1941" s="2" t="s">
        <v>162</v>
      </c>
    </row>
    <row r="1942" spans="1:10" ht="135" x14ac:dyDescent="0.25">
      <c r="A1942" s="2" t="s">
        <v>122</v>
      </c>
      <c r="B1942" s="2">
        <v>821.80899999999997</v>
      </c>
      <c r="C1942" s="2" t="s">
        <v>3773</v>
      </c>
      <c r="D1942" s="2" t="s">
        <v>3772</v>
      </c>
      <c r="E1942" s="2" t="s">
        <v>28</v>
      </c>
      <c r="F1942" s="3">
        <v>43433</v>
      </c>
      <c r="G1942" s="2" t="str">
        <f>"9780813941837"</f>
        <v>9780813941837</v>
      </c>
      <c r="H1942" s="2" t="s">
        <v>14</v>
      </c>
      <c r="I1942" s="4">
        <v>43756.273611111108</v>
      </c>
      <c r="J1942" s="2" t="s">
        <v>3774</v>
      </c>
    </row>
    <row r="1943" spans="1:10" ht="135" x14ac:dyDescent="0.25">
      <c r="A1943" s="2" t="s">
        <v>122</v>
      </c>
      <c r="B1943" s="2">
        <v>821.91399999999999</v>
      </c>
      <c r="C1943" s="2" t="s">
        <v>10429</v>
      </c>
      <c r="D1943" s="2" t="s">
        <v>10428</v>
      </c>
      <c r="E1943" s="2" t="s">
        <v>4660</v>
      </c>
      <c r="F1943" s="3">
        <v>36230</v>
      </c>
      <c r="G1943" s="2" t="str">
        <f>"9780813147628"</f>
        <v>9780813147628</v>
      </c>
      <c r="H1943" s="2" t="s">
        <v>14</v>
      </c>
      <c r="I1943" s="4">
        <v>43058.568055555559</v>
      </c>
      <c r="J1943" s="2" t="s">
        <v>10430</v>
      </c>
    </row>
    <row r="1944" spans="1:10" ht="150" x14ac:dyDescent="0.25">
      <c r="A1944" s="2" t="s">
        <v>122</v>
      </c>
      <c r="B1944" s="2">
        <v>842.40899999999897</v>
      </c>
      <c r="C1944" s="2" t="s">
        <v>10502</v>
      </c>
      <c r="D1944" s="2" t="s">
        <v>10501</v>
      </c>
      <c r="E1944" s="2" t="s">
        <v>846</v>
      </c>
      <c r="F1944" s="3">
        <v>42649</v>
      </c>
      <c r="G1944" s="2" t="str">
        <f>"9781487510565"</f>
        <v>9781487510565</v>
      </c>
      <c r="H1944" s="2" t="s">
        <v>14</v>
      </c>
      <c r="I1944" s="4">
        <v>43054.397916666669</v>
      </c>
      <c r="J1944" s="2" t="s">
        <v>10503</v>
      </c>
    </row>
    <row r="1945" spans="1:10" ht="135" x14ac:dyDescent="0.25">
      <c r="A1945" s="2" t="s">
        <v>122</v>
      </c>
      <c r="B1945" s="2" t="s">
        <v>12510</v>
      </c>
      <c r="C1945" s="2" t="s">
        <v>12511</v>
      </c>
      <c r="D1945" s="2" t="s">
        <v>12509</v>
      </c>
      <c r="E1945" s="2" t="s">
        <v>216</v>
      </c>
      <c r="F1945" s="3">
        <v>40878</v>
      </c>
      <c r="G1945" s="2" t="str">
        <f>"9781438439020"</f>
        <v>9781438439020</v>
      </c>
      <c r="H1945" s="2" t="s">
        <v>14</v>
      </c>
      <c r="I1945" s="4">
        <v>42800.836111111108</v>
      </c>
      <c r="J1945" s="2" t="s">
        <v>12512</v>
      </c>
    </row>
    <row r="1946" spans="1:10" ht="135" x14ac:dyDescent="0.25">
      <c r="A1946" s="2" t="s">
        <v>122</v>
      </c>
      <c r="B1946" s="2" t="s">
        <v>6203</v>
      </c>
      <c r="C1946" s="2" t="s">
        <v>2634</v>
      </c>
      <c r="D1946" s="2" t="s">
        <v>6202</v>
      </c>
      <c r="E1946" s="2" t="s">
        <v>1656</v>
      </c>
      <c r="F1946" s="3">
        <v>43266</v>
      </c>
      <c r="G1946" s="2" t="str">
        <f>"9781943859658"</f>
        <v>9781943859658</v>
      </c>
      <c r="H1946" s="2" t="s">
        <v>14</v>
      </c>
      <c r="I1946" s="4">
        <v>43533.532638888886</v>
      </c>
      <c r="J1946" s="2" t="s">
        <v>6204</v>
      </c>
    </row>
    <row r="1947" spans="1:10" ht="135" x14ac:dyDescent="0.25">
      <c r="A1947" s="2" t="s">
        <v>122</v>
      </c>
      <c r="B1947" s="2">
        <v>843.5</v>
      </c>
      <c r="C1947" s="2" t="s">
        <v>11073</v>
      </c>
      <c r="D1947" s="2" t="s">
        <v>11072</v>
      </c>
      <c r="E1947" s="2" t="s">
        <v>1291</v>
      </c>
      <c r="F1947" s="3">
        <v>41885</v>
      </c>
      <c r="G1947" s="2" t="str">
        <f>"9781624661822"</f>
        <v>9781624661822</v>
      </c>
      <c r="H1947" s="2" t="s">
        <v>14</v>
      </c>
      <c r="I1947" s="4">
        <v>43019.633333333331</v>
      </c>
      <c r="J1947" s="2" t="s">
        <v>11074</v>
      </c>
    </row>
    <row r="1948" spans="1:10" ht="135" x14ac:dyDescent="0.25">
      <c r="A1948" s="2" t="s">
        <v>122</v>
      </c>
      <c r="B1948" s="2">
        <v>808.1</v>
      </c>
      <c r="C1948" s="2" t="s">
        <v>11496</v>
      </c>
      <c r="D1948" s="2" t="s">
        <v>11495</v>
      </c>
      <c r="E1948" s="2" t="s">
        <v>674</v>
      </c>
      <c r="F1948" s="3">
        <v>42352</v>
      </c>
      <c r="G1948" s="2" t="str">
        <f>"9780823264889"</f>
        <v>9780823264889</v>
      </c>
      <c r="H1948" s="2" t="s">
        <v>14</v>
      </c>
      <c r="I1948" s="4">
        <v>42947.47152777778</v>
      </c>
      <c r="J1948" s="2" t="s">
        <v>11497</v>
      </c>
    </row>
    <row r="1949" spans="1:10" ht="135" x14ac:dyDescent="0.25">
      <c r="A1949" s="2" t="s">
        <v>122</v>
      </c>
      <c r="C1949" s="2" t="s">
        <v>1274</v>
      </c>
      <c r="D1949" s="2" t="s">
        <v>1273</v>
      </c>
      <c r="E1949" s="2" t="s">
        <v>397</v>
      </c>
      <c r="F1949" s="3">
        <v>43893</v>
      </c>
      <c r="G1949" s="2" t="str">
        <f>"9780822987512"</f>
        <v>9780822987512</v>
      </c>
      <c r="H1949" s="2" t="s">
        <v>14</v>
      </c>
      <c r="I1949" s="4">
        <v>43951.87777777778</v>
      </c>
      <c r="J1949" s="2" t="s">
        <v>1275</v>
      </c>
    </row>
    <row r="1950" spans="1:10" ht="135" x14ac:dyDescent="0.25">
      <c r="A1950" s="2" t="s">
        <v>122</v>
      </c>
      <c r="B1950" s="2">
        <v>851.1</v>
      </c>
      <c r="C1950" s="2" t="s">
        <v>3056</v>
      </c>
      <c r="D1950" s="2" t="s">
        <v>3055</v>
      </c>
      <c r="E1950" s="2" t="s">
        <v>69</v>
      </c>
      <c r="F1950" s="3">
        <v>36302</v>
      </c>
      <c r="G1950" s="2" t="str">
        <f>"9780253011954"</f>
        <v>9780253011954</v>
      </c>
      <c r="H1950" s="2" t="s">
        <v>14</v>
      </c>
      <c r="I1950" s="4">
        <v>43819.847222222219</v>
      </c>
      <c r="J1950" s="2" t="s">
        <v>3057</v>
      </c>
    </row>
    <row r="1951" spans="1:10" ht="135" x14ac:dyDescent="0.25">
      <c r="A1951" s="2" t="s">
        <v>122</v>
      </c>
      <c r="B1951" s="2" t="s">
        <v>12655</v>
      </c>
      <c r="C1951" s="2" t="s">
        <v>12656</v>
      </c>
      <c r="D1951" s="2" t="s">
        <v>12654</v>
      </c>
      <c r="E1951" s="2" t="s">
        <v>578</v>
      </c>
      <c r="F1951" s="3">
        <v>38378</v>
      </c>
      <c r="G1951" s="2" t="str">
        <f>"9780252097164"</f>
        <v>9780252097164</v>
      </c>
      <c r="H1951" s="2" t="s">
        <v>14</v>
      </c>
      <c r="I1951" s="4">
        <v>42786.513888888891</v>
      </c>
      <c r="J1951" s="2" t="s">
        <v>12657</v>
      </c>
    </row>
    <row r="1952" spans="1:10" ht="135" x14ac:dyDescent="0.25">
      <c r="A1952" s="2" t="s">
        <v>122</v>
      </c>
      <c r="B1952" s="2" t="s">
        <v>6183</v>
      </c>
      <c r="C1952" s="2" t="s">
        <v>6184</v>
      </c>
      <c r="D1952" s="2" t="s">
        <v>6182</v>
      </c>
      <c r="E1952" s="2" t="s">
        <v>156</v>
      </c>
      <c r="F1952" s="3">
        <v>43255</v>
      </c>
      <c r="G1952" s="2" t="str">
        <f>"9781469640723"</f>
        <v>9781469640723</v>
      </c>
      <c r="H1952" s="2" t="s">
        <v>14</v>
      </c>
      <c r="I1952" s="4">
        <v>43534.959722222222</v>
      </c>
      <c r="J1952" s="2" t="s">
        <v>6185</v>
      </c>
    </row>
    <row r="1953" spans="1:10" ht="135" x14ac:dyDescent="0.25">
      <c r="A1953" s="2" t="s">
        <v>122</v>
      </c>
      <c r="B1953" s="2" t="s">
        <v>10856</v>
      </c>
      <c r="C1953" s="2" t="s">
        <v>10857</v>
      </c>
      <c r="D1953" s="2" t="s">
        <v>10855</v>
      </c>
      <c r="E1953" s="2" t="s">
        <v>390</v>
      </c>
      <c r="F1953" s="3">
        <v>42855</v>
      </c>
      <c r="G1953" s="2" t="str">
        <f>"9780268101640"</f>
        <v>9780268101640</v>
      </c>
      <c r="H1953" s="2" t="s">
        <v>14</v>
      </c>
      <c r="I1953" s="4">
        <v>43031.74722222222</v>
      </c>
      <c r="J1953" s="2" t="s">
        <v>10858</v>
      </c>
    </row>
    <row r="1954" spans="1:10" ht="150" x14ac:dyDescent="0.25">
      <c r="A1954" s="2" t="s">
        <v>122</v>
      </c>
      <c r="B1954" s="2" t="s">
        <v>1734</v>
      </c>
      <c r="C1954" s="2" t="s">
        <v>1735</v>
      </c>
      <c r="D1954" s="2" t="s">
        <v>1733</v>
      </c>
      <c r="E1954" s="2" t="s">
        <v>46</v>
      </c>
      <c r="F1954" s="3">
        <v>43678</v>
      </c>
      <c r="G1954" s="2" t="str">
        <f>"9781496216113"</f>
        <v>9781496216113</v>
      </c>
      <c r="H1954" s="2" t="s">
        <v>14</v>
      </c>
      <c r="I1954" s="4">
        <v>43929.976388888892</v>
      </c>
      <c r="J1954" s="2" t="s">
        <v>1736</v>
      </c>
    </row>
    <row r="1955" spans="1:10" ht="135" x14ac:dyDescent="0.25">
      <c r="A1955" s="2" t="s">
        <v>122</v>
      </c>
      <c r="B1955" s="2">
        <v>813.4</v>
      </c>
      <c r="C1955" s="2" t="s">
        <v>10558</v>
      </c>
      <c r="D1955" s="2" t="s">
        <v>10557</v>
      </c>
      <c r="E1955" s="2" t="s">
        <v>97</v>
      </c>
      <c r="F1955" s="3">
        <v>42437</v>
      </c>
      <c r="G1955" s="2" t="str">
        <f>"9780231540582"</f>
        <v>9780231540582</v>
      </c>
      <c r="H1955" s="2" t="s">
        <v>14</v>
      </c>
      <c r="I1955" s="4">
        <v>43049.753472222219</v>
      </c>
      <c r="J1955" s="2" t="s">
        <v>10559</v>
      </c>
    </row>
    <row r="1956" spans="1:10" ht="135" x14ac:dyDescent="0.25">
      <c r="A1956" s="2" t="s">
        <v>122</v>
      </c>
      <c r="B1956" s="2">
        <v>821.91399999999999</v>
      </c>
      <c r="C1956" s="2" t="s">
        <v>12451</v>
      </c>
      <c r="D1956" s="2" t="s">
        <v>12450</v>
      </c>
      <c r="E1956" s="2" t="s">
        <v>80</v>
      </c>
      <c r="F1956" s="3">
        <v>42468</v>
      </c>
      <c r="G1956" s="2" t="str">
        <f>"9783653064926"</f>
        <v>9783653064926</v>
      </c>
      <c r="H1956" s="2" t="s">
        <v>14</v>
      </c>
      <c r="I1956" s="4">
        <v>42805.625</v>
      </c>
      <c r="J1956" s="2" t="s">
        <v>12452</v>
      </c>
    </row>
    <row r="1957" spans="1:10" ht="135" x14ac:dyDescent="0.25">
      <c r="A1957" s="2" t="s">
        <v>122</v>
      </c>
      <c r="B1957" s="2">
        <v>821.91200000000003</v>
      </c>
      <c r="C1957" s="2" t="s">
        <v>1342</v>
      </c>
      <c r="D1957" s="2" t="s">
        <v>1341</v>
      </c>
      <c r="E1957" s="2" t="s">
        <v>69</v>
      </c>
      <c r="F1957" s="3">
        <v>43647</v>
      </c>
      <c r="G1957" s="2" t="str">
        <f>"9780253041692"</f>
        <v>9780253041692</v>
      </c>
      <c r="H1957" s="2" t="s">
        <v>14</v>
      </c>
      <c r="I1957" s="4">
        <v>43948.354861111111</v>
      </c>
      <c r="J1957" s="2" t="s">
        <v>1343</v>
      </c>
    </row>
    <row r="1958" spans="1:10" ht="135" x14ac:dyDescent="0.25">
      <c r="A1958" s="2" t="s">
        <v>122</v>
      </c>
      <c r="B1958" s="2">
        <v>808.1</v>
      </c>
      <c r="C1958" s="2" t="s">
        <v>10075</v>
      </c>
      <c r="D1958" s="2" t="s">
        <v>10074</v>
      </c>
      <c r="E1958" s="2" t="s">
        <v>54</v>
      </c>
      <c r="F1958" s="3">
        <v>41899</v>
      </c>
      <c r="G1958" s="2" t="str">
        <f>"9780804792288"</f>
        <v>9780804792288</v>
      </c>
      <c r="H1958" s="2" t="s">
        <v>14</v>
      </c>
      <c r="I1958" s="4">
        <v>43105.612500000003</v>
      </c>
      <c r="J1958" s="2" t="s">
        <v>10076</v>
      </c>
    </row>
    <row r="1959" spans="1:10" ht="135" x14ac:dyDescent="0.25">
      <c r="A1959" s="2" t="s">
        <v>122</v>
      </c>
      <c r="B1959" s="2" t="s">
        <v>9025</v>
      </c>
      <c r="C1959" s="2" t="s">
        <v>9026</v>
      </c>
      <c r="D1959" s="2" t="s">
        <v>9024</v>
      </c>
      <c r="E1959" s="2" t="s">
        <v>216</v>
      </c>
      <c r="F1959" s="3">
        <v>42675</v>
      </c>
      <c r="G1959" s="2" t="str">
        <f>"9781438461991"</f>
        <v>9781438461991</v>
      </c>
      <c r="H1959" s="2" t="s">
        <v>14</v>
      </c>
      <c r="I1959" s="4">
        <v>43224.337500000001</v>
      </c>
      <c r="J1959" s="2" t="s">
        <v>9027</v>
      </c>
    </row>
    <row r="1960" spans="1:10" ht="135" x14ac:dyDescent="0.25">
      <c r="A1960" s="2" t="s">
        <v>122</v>
      </c>
      <c r="B1960" s="2">
        <v>808.1</v>
      </c>
      <c r="C1960" s="2" t="s">
        <v>7902</v>
      </c>
      <c r="D1960" s="2" t="s">
        <v>7900</v>
      </c>
      <c r="E1960" s="2" t="s">
        <v>7901</v>
      </c>
      <c r="F1960" s="3">
        <v>43221</v>
      </c>
      <c r="G1960" s="2" t="str">
        <f>"9781438470009"</f>
        <v>9781438470009</v>
      </c>
      <c r="H1960" s="2" t="s">
        <v>14</v>
      </c>
      <c r="I1960" s="4">
        <v>43378.476388888892</v>
      </c>
      <c r="J1960" s="2" t="s">
        <v>7903</v>
      </c>
    </row>
    <row r="1961" spans="1:10" ht="135" x14ac:dyDescent="0.25">
      <c r="A1961" s="2" t="s">
        <v>122</v>
      </c>
      <c r="B1961" s="2" t="s">
        <v>1519</v>
      </c>
      <c r="C1961" s="2" t="s">
        <v>1520</v>
      </c>
      <c r="D1961" s="2" t="s">
        <v>1518</v>
      </c>
      <c r="E1961" s="2" t="s">
        <v>180</v>
      </c>
      <c r="F1961" s="3">
        <v>33482</v>
      </c>
      <c r="G1961" s="2" t="str">
        <f>"9780814723395"</f>
        <v>9780814723395</v>
      </c>
      <c r="H1961" s="2" t="s">
        <v>14</v>
      </c>
      <c r="I1961" s="4">
        <v>43939.568055555559</v>
      </c>
      <c r="J1961" s="2" t="s">
        <v>1521</v>
      </c>
    </row>
    <row r="1962" spans="1:10" ht="135" x14ac:dyDescent="0.25">
      <c r="A1962" s="2" t="s">
        <v>122</v>
      </c>
      <c r="B1962" s="2">
        <v>821.30899999999997</v>
      </c>
      <c r="C1962" s="2" t="s">
        <v>619</v>
      </c>
      <c r="D1962" s="2" t="s">
        <v>2082</v>
      </c>
      <c r="E1962" s="2" t="s">
        <v>37</v>
      </c>
      <c r="F1962" s="3">
        <v>43210</v>
      </c>
      <c r="G1962" s="2" t="str">
        <f>"9783319710174"</f>
        <v>9783319710174</v>
      </c>
      <c r="H1962" s="2" t="s">
        <v>14</v>
      </c>
      <c r="I1962" s="4">
        <v>43914.814583333333</v>
      </c>
      <c r="J1962" s="2" t="s">
        <v>2083</v>
      </c>
    </row>
    <row r="1963" spans="1:10" ht="165" x14ac:dyDescent="0.25">
      <c r="A1963" s="2" t="s">
        <v>122</v>
      </c>
      <c r="B1963" s="2" t="s">
        <v>2711</v>
      </c>
      <c r="C1963" s="2" t="s">
        <v>2712</v>
      </c>
      <c r="D1963" s="2" t="s">
        <v>2710</v>
      </c>
      <c r="E1963" s="2" t="s">
        <v>136</v>
      </c>
      <c r="F1963" s="3">
        <v>42475</v>
      </c>
      <c r="G1963" s="2" t="str">
        <f>"9781609384043"</f>
        <v>9781609384043</v>
      </c>
      <c r="H1963" s="2" t="s">
        <v>14</v>
      </c>
      <c r="I1963" s="4">
        <v>43863.426388888889</v>
      </c>
      <c r="J1963" s="2" t="s">
        <v>2713</v>
      </c>
    </row>
    <row r="1964" spans="1:10" ht="135" x14ac:dyDescent="0.25">
      <c r="A1964" s="2" t="s">
        <v>122</v>
      </c>
      <c r="B1964" s="2" t="s">
        <v>4946</v>
      </c>
      <c r="C1964" s="2" t="s">
        <v>619</v>
      </c>
      <c r="D1964" s="2" t="s">
        <v>4945</v>
      </c>
      <c r="E1964" s="2" t="s">
        <v>618</v>
      </c>
      <c r="F1964" s="3">
        <v>42641</v>
      </c>
      <c r="G1964" s="2" t="str">
        <f>"9781137588593"</f>
        <v>9781137588593</v>
      </c>
      <c r="H1964" s="2" t="s">
        <v>14</v>
      </c>
      <c r="I1964" s="4">
        <v>43615.747916666667</v>
      </c>
      <c r="J1964" s="2" t="s">
        <v>4947</v>
      </c>
    </row>
    <row r="1965" spans="1:10" ht="135" x14ac:dyDescent="0.25">
      <c r="A1965" s="2" t="s">
        <v>122</v>
      </c>
      <c r="D1965" s="2" t="s">
        <v>4340</v>
      </c>
      <c r="E1965" s="2" t="s">
        <v>46</v>
      </c>
      <c r="F1965" s="3">
        <v>43466</v>
      </c>
      <c r="G1965" s="2" t="str">
        <f>"9781496213051"</f>
        <v>9781496213051</v>
      </c>
      <c r="H1965" s="2" t="s">
        <v>14</v>
      </c>
      <c r="I1965" s="4">
        <v>43679.535416666666</v>
      </c>
      <c r="J1965" s="2" t="s">
        <v>4341</v>
      </c>
    </row>
    <row r="1966" spans="1:10" ht="135" x14ac:dyDescent="0.25">
      <c r="A1966" s="2" t="s">
        <v>122</v>
      </c>
      <c r="B1966" s="2" t="s">
        <v>4308</v>
      </c>
      <c r="C1966" s="2" t="s">
        <v>4309</v>
      </c>
      <c r="D1966" s="2" t="s">
        <v>4307</v>
      </c>
      <c r="E1966" s="2" t="s">
        <v>73</v>
      </c>
      <c r="F1966" s="3">
        <v>43084</v>
      </c>
      <c r="G1966" s="2" t="str">
        <f>"9781452954967"</f>
        <v>9781452954967</v>
      </c>
      <c r="H1966" s="2" t="s">
        <v>14</v>
      </c>
      <c r="I1966" s="4">
        <v>43683.64166666667</v>
      </c>
      <c r="J1966" s="2" t="s">
        <v>4310</v>
      </c>
    </row>
    <row r="1967" spans="1:10" ht="135" x14ac:dyDescent="0.25">
      <c r="A1967" s="2" t="s">
        <v>122</v>
      </c>
      <c r="B1967" s="2" t="s">
        <v>126</v>
      </c>
      <c r="C1967" s="2" t="s">
        <v>127</v>
      </c>
      <c r="D1967" s="2" t="s">
        <v>125</v>
      </c>
      <c r="E1967" s="2" t="s">
        <v>101</v>
      </c>
      <c r="F1967" s="3">
        <v>43936</v>
      </c>
      <c r="G1967" s="2" t="str">
        <f>"9780810141742"</f>
        <v>9780810141742</v>
      </c>
      <c r="H1967" s="2" t="s">
        <v>14</v>
      </c>
      <c r="I1967" s="4">
        <v>44069.788194444445</v>
      </c>
      <c r="J1967" s="2" t="s">
        <v>128</v>
      </c>
    </row>
    <row r="1968" spans="1:10" ht="135" x14ac:dyDescent="0.25">
      <c r="A1968" s="2" t="s">
        <v>122</v>
      </c>
      <c r="B1968" s="2" t="s">
        <v>2853</v>
      </c>
      <c r="C1968" s="2" t="s">
        <v>2854</v>
      </c>
      <c r="D1968" s="2" t="s">
        <v>2852</v>
      </c>
      <c r="E1968" s="2" t="s">
        <v>310</v>
      </c>
      <c r="F1968" s="3">
        <v>42306</v>
      </c>
      <c r="G1968" s="2" t="str">
        <f>"9780815653493"</f>
        <v>9780815653493</v>
      </c>
      <c r="H1968" s="2" t="s">
        <v>14</v>
      </c>
      <c r="I1968" s="4">
        <v>43848.98541666667</v>
      </c>
      <c r="J1968" s="2" t="s">
        <v>2855</v>
      </c>
    </row>
    <row r="1969" spans="1:10" ht="135" x14ac:dyDescent="0.25">
      <c r="A1969" s="2" t="s">
        <v>122</v>
      </c>
      <c r="B1969" s="2">
        <v>840.93584436100002</v>
      </c>
      <c r="C1969" s="2" t="s">
        <v>7694</v>
      </c>
      <c r="D1969" s="2" t="s">
        <v>7693</v>
      </c>
      <c r="E1969" s="2" t="s">
        <v>58</v>
      </c>
      <c r="F1969" s="3">
        <v>43263</v>
      </c>
      <c r="G1969" s="2" t="str">
        <f>"9780299315832"</f>
        <v>9780299315832</v>
      </c>
      <c r="H1969" s="2" t="s">
        <v>14</v>
      </c>
      <c r="I1969" s="4">
        <v>43399.582638888889</v>
      </c>
      <c r="J1969" s="2" t="s">
        <v>7695</v>
      </c>
    </row>
    <row r="1970" spans="1:10" ht="135" x14ac:dyDescent="0.25">
      <c r="A1970" s="2" t="s">
        <v>122</v>
      </c>
      <c r="B1970" s="2">
        <v>810.99287089960706</v>
      </c>
      <c r="C1970" s="2" t="s">
        <v>9996</v>
      </c>
      <c r="D1970" s="2" t="s">
        <v>9995</v>
      </c>
      <c r="E1970" s="2" t="s">
        <v>322</v>
      </c>
      <c r="F1970" s="3">
        <v>42979</v>
      </c>
      <c r="G1970" s="2" t="str">
        <f>"9780820351230"</f>
        <v>9780820351230</v>
      </c>
      <c r="H1970" s="2" t="s">
        <v>14</v>
      </c>
      <c r="I1970" s="4">
        <v>43112.617361111108</v>
      </c>
      <c r="J1970" s="2" t="s">
        <v>9997</v>
      </c>
    </row>
    <row r="1971" spans="1:10" ht="135" x14ac:dyDescent="0.25">
      <c r="A1971" s="2" t="s">
        <v>122</v>
      </c>
      <c r="B1971" s="2">
        <v>860.99800000000005</v>
      </c>
      <c r="C1971" s="2" t="s">
        <v>6686</v>
      </c>
      <c r="D1971" s="2" t="s">
        <v>6685</v>
      </c>
      <c r="E1971" s="2" t="s">
        <v>130</v>
      </c>
      <c r="F1971" s="3">
        <v>43025</v>
      </c>
      <c r="G1971" s="2" t="str">
        <f>"9780813052014"</f>
        <v>9780813052014</v>
      </c>
      <c r="H1971" s="2" t="s">
        <v>14</v>
      </c>
      <c r="I1971" s="4">
        <v>43496.586805555555</v>
      </c>
      <c r="J1971" s="2" t="s">
        <v>6687</v>
      </c>
    </row>
    <row r="1972" spans="1:10" ht="135" x14ac:dyDescent="0.25">
      <c r="A1972" s="2" t="s">
        <v>122</v>
      </c>
      <c r="B1972" s="2">
        <v>801.95</v>
      </c>
      <c r="C1972" s="2" t="s">
        <v>10231</v>
      </c>
      <c r="D1972" s="2" t="s">
        <v>10230</v>
      </c>
      <c r="E1972" s="2" t="s">
        <v>9059</v>
      </c>
      <c r="F1972" s="3">
        <v>41624</v>
      </c>
      <c r="G1972" s="2" t="str">
        <f>"9781742585826"</f>
        <v>9781742585826</v>
      </c>
      <c r="H1972" s="2" t="s">
        <v>14</v>
      </c>
      <c r="I1972" s="4">
        <v>43079.706944444442</v>
      </c>
      <c r="J1972" s="2" t="s">
        <v>10232</v>
      </c>
    </row>
    <row r="1973" spans="1:10" ht="135" x14ac:dyDescent="0.25">
      <c r="A1973" s="2" t="s">
        <v>122</v>
      </c>
      <c r="B1973" s="2" t="s">
        <v>5575</v>
      </c>
      <c r="C1973" s="2" t="s">
        <v>5576</v>
      </c>
      <c r="D1973" s="2" t="s">
        <v>5574</v>
      </c>
      <c r="E1973" s="2" t="s">
        <v>50</v>
      </c>
      <c r="F1973" s="3">
        <v>43101</v>
      </c>
      <c r="G1973" s="2" t="str">
        <f>"9781496204899"</f>
        <v>9781496204899</v>
      </c>
      <c r="H1973" s="2" t="s">
        <v>14</v>
      </c>
      <c r="I1973" s="4">
        <v>43587.656944444447</v>
      </c>
      <c r="J1973" s="2" t="s">
        <v>5577</v>
      </c>
    </row>
    <row r="1974" spans="1:10" ht="135" x14ac:dyDescent="0.25">
      <c r="A1974" s="2" t="s">
        <v>122</v>
      </c>
      <c r="B1974" s="2">
        <v>809</v>
      </c>
      <c r="C1974" s="2" t="s">
        <v>12468</v>
      </c>
      <c r="D1974" s="2" t="s">
        <v>12466</v>
      </c>
      <c r="E1974" s="2" t="s">
        <v>12467</v>
      </c>
      <c r="F1974" s="3">
        <v>41275</v>
      </c>
      <c r="G1974" s="2" t="str">
        <f>"9789401209625"</f>
        <v>9789401209625</v>
      </c>
      <c r="H1974" s="2" t="s">
        <v>14</v>
      </c>
      <c r="I1974" s="4">
        <v>42803.665277777778</v>
      </c>
      <c r="J1974" s="2" t="s">
        <v>12469</v>
      </c>
    </row>
    <row r="1975" spans="1:10" ht="135" x14ac:dyDescent="0.25">
      <c r="A1975" s="2" t="s">
        <v>122</v>
      </c>
      <c r="B1975" s="2" t="s">
        <v>11337</v>
      </c>
      <c r="C1975" s="2" t="s">
        <v>11338</v>
      </c>
      <c r="D1975" s="2" t="s">
        <v>11336</v>
      </c>
      <c r="E1975" s="2" t="s">
        <v>69</v>
      </c>
      <c r="F1975" s="3">
        <v>42054</v>
      </c>
      <c r="G1975" s="2" t="str">
        <f>"9780253015488"</f>
        <v>9780253015488</v>
      </c>
      <c r="H1975" s="2" t="s">
        <v>14</v>
      </c>
      <c r="I1975" s="4">
        <v>42986.927083333336</v>
      </c>
      <c r="J1975" s="2" t="s">
        <v>11339</v>
      </c>
    </row>
    <row r="1976" spans="1:10" ht="135" x14ac:dyDescent="0.25">
      <c r="A1976" s="2" t="s">
        <v>122</v>
      </c>
      <c r="B1976" s="2">
        <v>821.8</v>
      </c>
      <c r="C1976" s="2" t="s">
        <v>12016</v>
      </c>
      <c r="D1976" s="2" t="s">
        <v>12015</v>
      </c>
      <c r="E1976" s="2" t="s">
        <v>4660</v>
      </c>
      <c r="F1976" s="3">
        <v>41827</v>
      </c>
      <c r="G1976" s="2" t="str">
        <f>"9780813164557"</f>
        <v>9780813164557</v>
      </c>
      <c r="H1976" s="2" t="s">
        <v>14</v>
      </c>
      <c r="I1976" s="4">
        <v>42862.662499999999</v>
      </c>
      <c r="J1976" s="2" t="s">
        <v>12017</v>
      </c>
    </row>
    <row r="1977" spans="1:10" ht="135" x14ac:dyDescent="0.25">
      <c r="A1977" s="2" t="s">
        <v>122</v>
      </c>
      <c r="B1977" s="2">
        <v>820.99287000000004</v>
      </c>
      <c r="C1977" s="2" t="s">
        <v>5476</v>
      </c>
      <c r="D1977" s="2" t="s">
        <v>5475</v>
      </c>
      <c r="E1977" s="2" t="s">
        <v>28</v>
      </c>
      <c r="F1977" s="3">
        <v>42874</v>
      </c>
      <c r="G1977" s="2" t="str">
        <f>"9780813939773"</f>
        <v>9780813939773</v>
      </c>
      <c r="H1977" s="2" t="s">
        <v>14</v>
      </c>
      <c r="I1977" s="4">
        <v>43595.439583333333</v>
      </c>
      <c r="J1977" s="2" t="s">
        <v>5477</v>
      </c>
    </row>
    <row r="1978" spans="1:10" ht="135" x14ac:dyDescent="0.25">
      <c r="A1978" s="2" t="s">
        <v>122</v>
      </c>
      <c r="B1978" s="2">
        <v>808.1</v>
      </c>
      <c r="C1978" s="2" t="s">
        <v>8861</v>
      </c>
      <c r="D1978" s="2" t="s">
        <v>8860</v>
      </c>
      <c r="E1978" s="2" t="s">
        <v>136</v>
      </c>
      <c r="F1978" s="3">
        <v>42552</v>
      </c>
      <c r="G1978" s="2" t="str">
        <f>"9781609384319"</f>
        <v>9781609384319</v>
      </c>
      <c r="H1978" s="2" t="s">
        <v>14</v>
      </c>
      <c r="I1978" s="4">
        <v>43245.634722222225</v>
      </c>
      <c r="J1978" s="2" t="s">
        <v>8862</v>
      </c>
    </row>
    <row r="1979" spans="1:10" ht="150" x14ac:dyDescent="0.25">
      <c r="A1979" s="2" t="s">
        <v>122</v>
      </c>
      <c r="B1979" s="2" t="s">
        <v>2740</v>
      </c>
      <c r="C1979" s="2" t="s">
        <v>6759</v>
      </c>
      <c r="D1979" s="2" t="s">
        <v>6758</v>
      </c>
      <c r="E1979" s="2" t="s">
        <v>69</v>
      </c>
      <c r="F1979" s="3">
        <v>41155</v>
      </c>
      <c r="G1979" s="2" t="str">
        <f>"9780253017895"</f>
        <v>9780253017895</v>
      </c>
      <c r="H1979" s="2" t="s">
        <v>14</v>
      </c>
      <c r="I1979" s="4">
        <v>43489.584027777775</v>
      </c>
      <c r="J1979" s="2" t="s">
        <v>6760</v>
      </c>
    </row>
    <row r="1980" spans="1:10" ht="165" x14ac:dyDescent="0.25">
      <c r="A1980" s="2" t="s">
        <v>122</v>
      </c>
      <c r="B1980" s="2" t="s">
        <v>12457</v>
      </c>
      <c r="C1980" s="2" t="s">
        <v>12458</v>
      </c>
      <c r="D1980" s="2" t="s">
        <v>12456</v>
      </c>
      <c r="E1980" s="2" t="s">
        <v>216</v>
      </c>
      <c r="F1980" s="3">
        <v>42689</v>
      </c>
      <c r="G1980" s="2" t="str">
        <f>"9781438462028"</f>
        <v>9781438462028</v>
      </c>
      <c r="H1980" s="2" t="s">
        <v>14</v>
      </c>
      <c r="I1980" s="4">
        <v>42804.606944444444</v>
      </c>
      <c r="J1980" s="2" t="s">
        <v>12459</v>
      </c>
    </row>
    <row r="1981" spans="1:10" ht="150" x14ac:dyDescent="0.25">
      <c r="A1981" s="2" t="s">
        <v>122</v>
      </c>
      <c r="B1981" s="2">
        <v>880.09</v>
      </c>
      <c r="C1981" s="2" t="s">
        <v>1691</v>
      </c>
      <c r="D1981" s="2" t="s">
        <v>1690</v>
      </c>
      <c r="E1981" s="2" t="s">
        <v>370</v>
      </c>
      <c r="F1981" s="3">
        <v>42992</v>
      </c>
      <c r="G1981" s="2" t="str">
        <f>"9780884142607"</f>
        <v>9780884142607</v>
      </c>
      <c r="H1981" s="2" t="s">
        <v>14</v>
      </c>
      <c r="I1981" s="4">
        <v>43932.376388888886</v>
      </c>
      <c r="J1981" s="2" t="s">
        <v>1692</v>
      </c>
    </row>
    <row r="1982" spans="1:10" ht="135" x14ac:dyDescent="0.25">
      <c r="A1982" s="2" t="s">
        <v>122</v>
      </c>
      <c r="B1982" s="2">
        <v>823.50935609999999</v>
      </c>
      <c r="C1982" s="2" t="s">
        <v>6209</v>
      </c>
      <c r="D1982" s="2" t="s">
        <v>6208</v>
      </c>
      <c r="E1982" s="2" t="s">
        <v>28</v>
      </c>
      <c r="F1982" s="3">
        <v>43431</v>
      </c>
      <c r="G1982" s="2" t="str">
        <f>"9780813941783"</f>
        <v>9780813941783</v>
      </c>
      <c r="H1982" s="2" t="s">
        <v>14</v>
      </c>
      <c r="I1982" s="4">
        <v>43532.506944444445</v>
      </c>
      <c r="J1982" s="2" t="s">
        <v>6210</v>
      </c>
    </row>
    <row r="1983" spans="1:10" ht="135" x14ac:dyDescent="0.25">
      <c r="A1983" s="2" t="s">
        <v>122</v>
      </c>
      <c r="B1983" s="2">
        <v>801.95</v>
      </c>
      <c r="C1983" s="2" t="s">
        <v>12213</v>
      </c>
      <c r="D1983" s="2" t="s">
        <v>12212</v>
      </c>
      <c r="E1983" s="2" t="s">
        <v>4660</v>
      </c>
      <c r="F1983" s="3">
        <v>30651</v>
      </c>
      <c r="G1983" s="2" t="str">
        <f>"9780813158341"</f>
        <v>9780813158341</v>
      </c>
      <c r="H1983" s="2" t="s">
        <v>14</v>
      </c>
      <c r="I1983" s="4">
        <v>42832.632638888892</v>
      </c>
      <c r="J1983" s="2" t="s">
        <v>12214</v>
      </c>
    </row>
    <row r="1984" spans="1:10" ht="135" x14ac:dyDescent="0.25">
      <c r="A1984" s="2" t="s">
        <v>122</v>
      </c>
      <c r="B1984" s="2" t="s">
        <v>5199</v>
      </c>
      <c r="C1984" s="2" t="s">
        <v>5200</v>
      </c>
      <c r="D1984" s="2" t="s">
        <v>5198</v>
      </c>
      <c r="E1984" s="2" t="s">
        <v>54</v>
      </c>
      <c r="F1984" s="3">
        <v>42375</v>
      </c>
      <c r="G1984" s="2" t="str">
        <f>"9780804797306"</f>
        <v>9780804797306</v>
      </c>
      <c r="H1984" s="2" t="s">
        <v>14</v>
      </c>
      <c r="I1984" s="4">
        <v>43608.625</v>
      </c>
      <c r="J1984" s="2" t="s">
        <v>5201</v>
      </c>
    </row>
    <row r="1985" spans="1:10" ht="135" x14ac:dyDescent="0.25">
      <c r="A1985" s="2" t="s">
        <v>122</v>
      </c>
      <c r="B1985" s="2">
        <v>810.98969999999997</v>
      </c>
      <c r="C1985" s="2" t="s">
        <v>7116</v>
      </c>
      <c r="D1985" s="2" t="s">
        <v>7115</v>
      </c>
      <c r="E1985" s="2" t="s">
        <v>310</v>
      </c>
      <c r="F1985" s="3">
        <v>41976</v>
      </c>
      <c r="G1985" s="2" t="str">
        <f>"9780815652991"</f>
        <v>9780815652991</v>
      </c>
      <c r="H1985" s="2" t="s">
        <v>14</v>
      </c>
      <c r="I1985" s="4">
        <v>43446.498611111114</v>
      </c>
      <c r="J1985" s="2" t="s">
        <v>7117</v>
      </c>
    </row>
    <row r="1986" spans="1:10" ht="135" x14ac:dyDescent="0.25">
      <c r="A1986" s="2" t="s">
        <v>122</v>
      </c>
      <c r="B1986" s="2">
        <v>809.91200000000003</v>
      </c>
      <c r="C1986" s="2" t="s">
        <v>11573</v>
      </c>
      <c r="D1986" s="2" t="s">
        <v>11572</v>
      </c>
      <c r="E1986" s="2" t="s">
        <v>2747</v>
      </c>
      <c r="F1986" s="3">
        <v>42089</v>
      </c>
      <c r="G1986" s="2" t="str">
        <f>"9781453915431"</f>
        <v>9781453915431</v>
      </c>
      <c r="H1986" s="2" t="s">
        <v>14</v>
      </c>
      <c r="I1986" s="4">
        <v>42927.564583333333</v>
      </c>
      <c r="J1986" s="2" t="s">
        <v>11574</v>
      </c>
    </row>
    <row r="1987" spans="1:10" ht="135" x14ac:dyDescent="0.25">
      <c r="A1987" s="2" t="s">
        <v>122</v>
      </c>
      <c r="B1987" s="2" t="s">
        <v>2740</v>
      </c>
      <c r="C1987" s="2" t="s">
        <v>3204</v>
      </c>
      <c r="D1987" s="2" t="s">
        <v>3203</v>
      </c>
      <c r="E1987" s="2" t="s">
        <v>705</v>
      </c>
      <c r="F1987" s="3">
        <v>42703</v>
      </c>
      <c r="G1987" s="2" t="str">
        <f>"9781400883745"</f>
        <v>9781400883745</v>
      </c>
      <c r="H1987" s="2" t="s">
        <v>14</v>
      </c>
      <c r="I1987" s="4">
        <v>43798.654861111114</v>
      </c>
      <c r="J1987" s="2" t="s">
        <v>3205</v>
      </c>
    </row>
    <row r="1988" spans="1:10" ht="150" x14ac:dyDescent="0.25">
      <c r="A1988" s="2" t="s">
        <v>122</v>
      </c>
      <c r="B1988" s="2">
        <v>809.93359999999996</v>
      </c>
      <c r="C1988" s="2" t="s">
        <v>7175</v>
      </c>
      <c r="D1988" s="2" t="s">
        <v>7174</v>
      </c>
      <c r="E1988" s="2" t="s">
        <v>28</v>
      </c>
      <c r="F1988" s="3">
        <v>43116</v>
      </c>
      <c r="G1988" s="2" t="str">
        <f>"9780813940632"</f>
        <v>9780813940632</v>
      </c>
      <c r="H1988" s="2" t="s">
        <v>14</v>
      </c>
      <c r="I1988" s="4">
        <v>43438.467361111114</v>
      </c>
      <c r="J1988" s="2" t="s">
        <v>7176</v>
      </c>
    </row>
    <row r="1989" spans="1:10" ht="135" x14ac:dyDescent="0.25">
      <c r="A1989" s="2" t="s">
        <v>122</v>
      </c>
      <c r="B1989" s="2">
        <v>821.8099287</v>
      </c>
      <c r="C1989" s="2" t="s">
        <v>6109</v>
      </c>
      <c r="D1989" s="2" t="s">
        <v>6108</v>
      </c>
      <c r="E1989" s="2" t="s">
        <v>622</v>
      </c>
      <c r="F1989" s="3">
        <v>43552</v>
      </c>
      <c r="G1989" s="2" t="str">
        <f>"9780826274298"</f>
        <v>9780826274298</v>
      </c>
      <c r="H1989" s="2" t="s">
        <v>14</v>
      </c>
      <c r="I1989" s="4">
        <v>43539.649305555555</v>
      </c>
      <c r="J1989" s="2" t="s">
        <v>6110</v>
      </c>
    </row>
    <row r="1990" spans="1:10" ht="135" x14ac:dyDescent="0.25">
      <c r="A1990" s="2" t="s">
        <v>122</v>
      </c>
      <c r="B1990" s="2">
        <v>811.3</v>
      </c>
      <c r="C1990" s="2" t="s">
        <v>8817</v>
      </c>
      <c r="D1990" s="2" t="s">
        <v>8816</v>
      </c>
      <c r="E1990" s="2" t="s">
        <v>8718</v>
      </c>
      <c r="F1990" s="3">
        <v>41689</v>
      </c>
      <c r="G1990" s="2" t="str">
        <f>"9781611476743"</f>
        <v>9781611476743</v>
      </c>
      <c r="H1990" s="2" t="s">
        <v>14</v>
      </c>
      <c r="I1990" s="4">
        <v>43250.609722222223</v>
      </c>
      <c r="J1990" s="2" t="s">
        <v>8818</v>
      </c>
    </row>
    <row r="1991" spans="1:10" ht="135" x14ac:dyDescent="0.25">
      <c r="A1991" s="2" t="s">
        <v>122</v>
      </c>
      <c r="B1991" s="2" t="s">
        <v>3081</v>
      </c>
      <c r="C1991" s="2" t="s">
        <v>3082</v>
      </c>
      <c r="D1991" s="2" t="s">
        <v>3080</v>
      </c>
      <c r="E1991" s="2" t="s">
        <v>50</v>
      </c>
      <c r="F1991" s="3">
        <v>42339</v>
      </c>
      <c r="G1991" s="2" t="str">
        <f>"9780803284753"</f>
        <v>9780803284753</v>
      </c>
      <c r="H1991" s="2" t="s">
        <v>14</v>
      </c>
      <c r="I1991" s="4">
        <v>43816.682638888888</v>
      </c>
      <c r="J1991" s="2" t="s">
        <v>3083</v>
      </c>
    </row>
    <row r="1992" spans="1:10" ht="135" x14ac:dyDescent="0.25">
      <c r="A1992" s="2" t="s">
        <v>122</v>
      </c>
      <c r="B1992" s="2" t="s">
        <v>2004</v>
      </c>
      <c r="C1992" s="2" t="s">
        <v>2005</v>
      </c>
      <c r="D1992" s="2" t="s">
        <v>2003</v>
      </c>
      <c r="E1992" s="2" t="s">
        <v>58</v>
      </c>
      <c r="F1992" s="3">
        <v>43445</v>
      </c>
      <c r="G1992" s="2" t="str">
        <f>"9780299320430"</f>
        <v>9780299320430</v>
      </c>
      <c r="H1992" s="2" t="s">
        <v>14</v>
      </c>
      <c r="I1992" s="4">
        <v>43917.877083333333</v>
      </c>
      <c r="J1992" s="2" t="s">
        <v>2006</v>
      </c>
    </row>
    <row r="1993" spans="1:10" ht="135" x14ac:dyDescent="0.25">
      <c r="A1993" s="2" t="s">
        <v>122</v>
      </c>
      <c r="B1993" s="2">
        <v>823.91209000000003</v>
      </c>
      <c r="C1993" s="2" t="s">
        <v>9709</v>
      </c>
      <c r="D1993" s="2" t="s">
        <v>9708</v>
      </c>
      <c r="E1993" s="2" t="s">
        <v>4660</v>
      </c>
      <c r="F1993" s="3">
        <v>35947</v>
      </c>
      <c r="G1993" s="2" t="str">
        <f>"9780813149073"</f>
        <v>9780813149073</v>
      </c>
      <c r="H1993" s="2" t="s">
        <v>14</v>
      </c>
      <c r="I1993" s="4">
        <v>43135.604861111111</v>
      </c>
      <c r="J1993" s="2" t="s">
        <v>9710</v>
      </c>
    </row>
    <row r="1994" spans="1:10" ht="135" x14ac:dyDescent="0.25">
      <c r="A1994" s="2" t="s">
        <v>122</v>
      </c>
      <c r="B1994" s="2">
        <v>823.80935841508096</v>
      </c>
      <c r="C1994" s="2" t="s">
        <v>3550</v>
      </c>
      <c r="D1994" s="2" t="s">
        <v>3549</v>
      </c>
      <c r="E1994" s="2" t="s">
        <v>310</v>
      </c>
      <c r="F1994" s="3">
        <v>42849</v>
      </c>
      <c r="G1994" s="2" t="str">
        <f>"9780815653981"</f>
        <v>9780815653981</v>
      </c>
      <c r="H1994" s="2" t="s">
        <v>14</v>
      </c>
      <c r="I1994" s="4">
        <v>43776.632638888892</v>
      </c>
      <c r="J1994" s="2" t="s">
        <v>3551</v>
      </c>
    </row>
    <row r="1995" spans="1:10" ht="135" x14ac:dyDescent="0.25">
      <c r="A1995" s="2" t="s">
        <v>122</v>
      </c>
      <c r="B1995" s="2" t="s">
        <v>1895</v>
      </c>
      <c r="C1995" s="2" t="s">
        <v>1896</v>
      </c>
      <c r="D1995" s="2" t="s">
        <v>1893</v>
      </c>
      <c r="E1995" s="2" t="s">
        <v>1894</v>
      </c>
      <c r="F1995" s="3">
        <v>39136</v>
      </c>
      <c r="G1995" s="2" t="str">
        <f>"9781552384404"</f>
        <v>9781552384404</v>
      </c>
      <c r="H1995" s="2" t="s">
        <v>14</v>
      </c>
      <c r="I1995" s="4">
        <v>43923.336805555555</v>
      </c>
      <c r="J1995" s="2" t="s">
        <v>1897</v>
      </c>
    </row>
    <row r="1996" spans="1:10" ht="150" x14ac:dyDescent="0.25">
      <c r="A1996" s="2" t="s">
        <v>122</v>
      </c>
      <c r="C1996" s="2" t="s">
        <v>123</v>
      </c>
      <c r="D1996" s="2" t="s">
        <v>120</v>
      </c>
      <c r="E1996" s="2" t="s">
        <v>121</v>
      </c>
      <c r="F1996" s="3">
        <v>44105</v>
      </c>
      <c r="G1996" s="2" t="str">
        <f>"9781609176457"</f>
        <v>9781609176457</v>
      </c>
      <c r="H1996" s="2" t="s">
        <v>14</v>
      </c>
      <c r="I1996" s="4">
        <v>44069.804861111108</v>
      </c>
      <c r="J1996" s="2" t="s">
        <v>124</v>
      </c>
    </row>
    <row r="1997" spans="1:10" ht="135" x14ac:dyDescent="0.25">
      <c r="A1997" s="2" t="s">
        <v>122</v>
      </c>
      <c r="B1997" s="2" t="s">
        <v>8845</v>
      </c>
      <c r="C1997" s="2" t="s">
        <v>8846</v>
      </c>
      <c r="D1997" s="2" t="s">
        <v>8844</v>
      </c>
      <c r="E1997" s="2" t="s">
        <v>11</v>
      </c>
      <c r="F1997" s="3">
        <v>38110</v>
      </c>
      <c r="G1997" s="2" t="str">
        <f>"9780813216607"</f>
        <v>9780813216607</v>
      </c>
      <c r="H1997" s="2" t="s">
        <v>14</v>
      </c>
      <c r="I1997" s="4">
        <v>43248.409722222219</v>
      </c>
      <c r="J1997" s="2" t="s">
        <v>8847</v>
      </c>
    </row>
    <row r="1998" spans="1:10" ht="135" x14ac:dyDescent="0.25">
      <c r="A1998" s="2" t="s">
        <v>122</v>
      </c>
      <c r="B1998" s="2">
        <v>809</v>
      </c>
      <c r="C1998" s="2" t="s">
        <v>2357</v>
      </c>
      <c r="D1998" s="2" t="s">
        <v>2356</v>
      </c>
      <c r="E1998" s="2" t="s">
        <v>121</v>
      </c>
      <c r="F1998" s="3">
        <v>42248</v>
      </c>
      <c r="G1998" s="2" t="str">
        <f>"9781609174712"</f>
        <v>9781609174712</v>
      </c>
      <c r="H1998" s="2" t="s">
        <v>14</v>
      </c>
      <c r="I1998" s="4">
        <v>43890.931944444441</v>
      </c>
      <c r="J1998" s="2" t="s">
        <v>2358</v>
      </c>
    </row>
    <row r="1999" spans="1:10" ht="135" x14ac:dyDescent="0.25">
      <c r="A1999" s="2" t="s">
        <v>122</v>
      </c>
      <c r="B1999" s="2" t="s">
        <v>9738</v>
      </c>
      <c r="C1999" s="2" t="s">
        <v>9739</v>
      </c>
      <c r="D1999" s="2" t="s">
        <v>9737</v>
      </c>
      <c r="E1999" s="2" t="s">
        <v>121</v>
      </c>
      <c r="F1999" s="3">
        <v>40909</v>
      </c>
      <c r="G1999" s="2" t="str">
        <f>"9781609173203"</f>
        <v>9781609173203</v>
      </c>
      <c r="H1999" s="2" t="s">
        <v>14</v>
      </c>
      <c r="I1999" s="4">
        <v>43133.509722222225</v>
      </c>
      <c r="J1999" s="2" t="s">
        <v>9740</v>
      </c>
    </row>
    <row r="2000" spans="1:10" ht="135" x14ac:dyDescent="0.25">
      <c r="A2000" s="2" t="s">
        <v>122</v>
      </c>
      <c r="B2000" s="2">
        <v>841.3</v>
      </c>
      <c r="C2000" s="2" t="s">
        <v>6569</v>
      </c>
      <c r="D2000" s="2" t="s">
        <v>6568</v>
      </c>
      <c r="E2000" s="2" t="s">
        <v>101</v>
      </c>
      <c r="F2000" s="3">
        <v>43084</v>
      </c>
      <c r="G2000" s="2" t="str">
        <f>"9780810135857"</f>
        <v>9780810135857</v>
      </c>
      <c r="H2000" s="2" t="s">
        <v>14</v>
      </c>
      <c r="I2000" s="4">
        <v>43507.617361111108</v>
      </c>
      <c r="J2000" s="2" t="s">
        <v>6570</v>
      </c>
    </row>
    <row r="2001" spans="1:10" ht="135" x14ac:dyDescent="0.25">
      <c r="A2001" s="2" t="s">
        <v>122</v>
      </c>
      <c r="B2001" s="2">
        <v>823.91</v>
      </c>
      <c r="C2001" s="2" t="s">
        <v>4403</v>
      </c>
      <c r="D2001" s="2" t="s">
        <v>4402</v>
      </c>
      <c r="E2001" s="2" t="s">
        <v>310</v>
      </c>
      <c r="F2001" s="3">
        <v>42866</v>
      </c>
      <c r="G2001" s="2" t="str">
        <f>"9780815653578"</f>
        <v>9780815653578</v>
      </c>
      <c r="H2001" s="2" t="s">
        <v>14</v>
      </c>
      <c r="I2001" s="4">
        <v>43673.551388888889</v>
      </c>
      <c r="J2001" s="2" t="s">
        <v>4404</v>
      </c>
    </row>
    <row r="2002" spans="1:10" ht="165" x14ac:dyDescent="0.25">
      <c r="A2002" s="2" t="s">
        <v>122</v>
      </c>
      <c r="B2002" s="2">
        <v>809.3</v>
      </c>
      <c r="C2002" s="2" t="s">
        <v>4412</v>
      </c>
      <c r="D2002" s="2" t="s">
        <v>4411</v>
      </c>
      <c r="E2002" s="2" t="s">
        <v>3085</v>
      </c>
      <c r="F2002" s="3">
        <v>43098</v>
      </c>
      <c r="G2002" s="2" t="str">
        <f>"9781942876199"</f>
        <v>9781942876199</v>
      </c>
      <c r="H2002" s="2" t="s">
        <v>14</v>
      </c>
      <c r="I2002" s="4">
        <v>43671.377083333333</v>
      </c>
      <c r="J2002" s="2" t="s">
        <v>4413</v>
      </c>
    </row>
    <row r="2003" spans="1:10" ht="165" x14ac:dyDescent="0.25">
      <c r="A2003" s="2" t="s">
        <v>122</v>
      </c>
      <c r="B2003" s="2">
        <v>823.91399999999999</v>
      </c>
      <c r="C2003" s="2" t="s">
        <v>1532</v>
      </c>
      <c r="D2003" s="2" t="s">
        <v>1531</v>
      </c>
      <c r="E2003" s="2" t="s">
        <v>80</v>
      </c>
      <c r="F2003" s="3">
        <v>41795</v>
      </c>
      <c r="G2003" s="2" t="str">
        <f>"9783653046670"</f>
        <v>9783653046670</v>
      </c>
      <c r="H2003" s="2" t="s">
        <v>14</v>
      </c>
      <c r="I2003" s="4">
        <v>43938.543749999997</v>
      </c>
      <c r="J2003" s="2" t="s">
        <v>1533</v>
      </c>
    </row>
    <row r="2004" spans="1:10" ht="135" x14ac:dyDescent="0.25">
      <c r="A2004" s="2" t="s">
        <v>122</v>
      </c>
      <c r="B2004" s="2">
        <v>808.00900000000001</v>
      </c>
      <c r="C2004" s="2" t="s">
        <v>5466</v>
      </c>
      <c r="D2004" s="2" t="s">
        <v>5465</v>
      </c>
      <c r="E2004" s="2" t="s">
        <v>585</v>
      </c>
      <c r="F2004" s="3">
        <v>42695</v>
      </c>
      <c r="G2004" s="2" t="str">
        <f>"9780226398204"</f>
        <v>9780226398204</v>
      </c>
      <c r="H2004" s="2" t="s">
        <v>14</v>
      </c>
      <c r="I2004" s="4">
        <v>43596.475694444445</v>
      </c>
      <c r="J2004" s="2" t="s">
        <v>5467</v>
      </c>
    </row>
    <row r="2005" spans="1:10" ht="135" x14ac:dyDescent="0.25">
      <c r="A2005" s="2" t="s">
        <v>122</v>
      </c>
      <c r="B2005" s="2" t="s">
        <v>137</v>
      </c>
      <c r="C2005" s="2" t="s">
        <v>2648</v>
      </c>
      <c r="D2005" s="2" t="s">
        <v>2647</v>
      </c>
      <c r="E2005" s="2" t="s">
        <v>136</v>
      </c>
      <c r="F2005" s="3">
        <v>41791</v>
      </c>
      <c r="G2005" s="2" t="str">
        <f>"9781609383442"</f>
        <v>9781609383442</v>
      </c>
      <c r="H2005" s="2" t="s">
        <v>14</v>
      </c>
      <c r="I2005" s="4">
        <v>43870.740277777775</v>
      </c>
      <c r="J2005" s="2" t="s">
        <v>2649</v>
      </c>
    </row>
    <row r="2006" spans="1:10" ht="135" x14ac:dyDescent="0.25">
      <c r="A2006" s="2" t="s">
        <v>122</v>
      </c>
      <c r="B2006" s="2">
        <v>801.95090340000002</v>
      </c>
      <c r="C2006" s="2" t="s">
        <v>10047</v>
      </c>
      <c r="D2006" s="2" t="s">
        <v>10046</v>
      </c>
      <c r="E2006" s="2" t="s">
        <v>1412</v>
      </c>
      <c r="F2006" s="3">
        <v>41898</v>
      </c>
      <c r="G2006" s="2" t="str">
        <f>"9781611486155"</f>
        <v>9781611486155</v>
      </c>
      <c r="H2006" s="2" t="s">
        <v>14</v>
      </c>
      <c r="I2006" s="4">
        <v>43108.418749999997</v>
      </c>
      <c r="J2006" s="2" t="s">
        <v>10048</v>
      </c>
    </row>
    <row r="2007" spans="1:10" ht="135" x14ac:dyDescent="0.25">
      <c r="A2007" s="2" t="s">
        <v>122</v>
      </c>
      <c r="B2007" s="2">
        <v>838.91209000000003</v>
      </c>
      <c r="C2007" s="2" t="s">
        <v>662</v>
      </c>
      <c r="D2007" s="2" t="s">
        <v>661</v>
      </c>
      <c r="E2007" s="2" t="s">
        <v>101</v>
      </c>
      <c r="F2007" s="3">
        <v>43266</v>
      </c>
      <c r="G2007" s="2" t="str">
        <f>"9780810137141"</f>
        <v>9780810137141</v>
      </c>
      <c r="H2007" s="2" t="s">
        <v>14</v>
      </c>
      <c r="I2007" s="4">
        <v>44001.818055555559</v>
      </c>
      <c r="J2007" s="2" t="s">
        <v>663</v>
      </c>
    </row>
    <row r="2008" spans="1:10" ht="135" x14ac:dyDescent="0.25">
      <c r="A2008" s="2" t="s">
        <v>122</v>
      </c>
      <c r="B2008" s="2" t="s">
        <v>11101</v>
      </c>
      <c r="C2008" s="2" t="s">
        <v>5743</v>
      </c>
      <c r="D2008" s="2" t="s">
        <v>11100</v>
      </c>
      <c r="E2008" s="2" t="s">
        <v>54</v>
      </c>
      <c r="F2008" s="3">
        <v>42221</v>
      </c>
      <c r="G2008" s="2" t="str">
        <f>"9780804795500"</f>
        <v>9780804795500</v>
      </c>
      <c r="H2008" s="2" t="s">
        <v>14</v>
      </c>
      <c r="I2008" s="4">
        <v>43017.859027777777</v>
      </c>
      <c r="J2008" s="2" t="s">
        <v>11102</v>
      </c>
    </row>
    <row r="2009" spans="1:10" ht="135" x14ac:dyDescent="0.25">
      <c r="A2009" s="2" t="s">
        <v>122</v>
      </c>
      <c r="B2009" s="2">
        <v>811.00800000000004</v>
      </c>
      <c r="C2009" s="2" t="s">
        <v>6262</v>
      </c>
      <c r="D2009" s="2" t="s">
        <v>6260</v>
      </c>
      <c r="E2009" s="2" t="s">
        <v>6261</v>
      </c>
      <c r="F2009" s="3">
        <v>38203</v>
      </c>
      <c r="G2009" s="2" t="str">
        <f>"9781926829128"</f>
        <v>9781926829128</v>
      </c>
      <c r="H2009" s="2" t="s">
        <v>14</v>
      </c>
      <c r="I2009" s="4">
        <v>43528.684027777781</v>
      </c>
      <c r="J2009" s="2" t="s">
        <v>6263</v>
      </c>
    </row>
    <row r="2010" spans="1:10" ht="135" x14ac:dyDescent="0.25">
      <c r="A2010" s="2" t="s">
        <v>122</v>
      </c>
      <c r="B2010" s="2">
        <v>820.91449999999895</v>
      </c>
      <c r="C2010" s="2" t="s">
        <v>7770</v>
      </c>
      <c r="D2010" s="2" t="s">
        <v>7769</v>
      </c>
      <c r="E2010" s="2" t="s">
        <v>216</v>
      </c>
      <c r="F2010" s="3">
        <v>42675</v>
      </c>
      <c r="G2010" s="2" t="str">
        <f>"9781438463285"</f>
        <v>9781438463285</v>
      </c>
      <c r="H2010" s="2" t="s">
        <v>14</v>
      </c>
      <c r="I2010" s="4">
        <v>43391.467361111114</v>
      </c>
      <c r="J2010" s="2" t="s">
        <v>7771</v>
      </c>
    </row>
    <row r="2011" spans="1:10" ht="135" x14ac:dyDescent="0.25">
      <c r="A2011" s="2" t="s">
        <v>122</v>
      </c>
      <c r="B2011" s="2" t="s">
        <v>3990</v>
      </c>
      <c r="C2011" s="2" t="s">
        <v>3991</v>
      </c>
      <c r="D2011" s="2" t="s">
        <v>3989</v>
      </c>
      <c r="E2011" s="2" t="s">
        <v>216</v>
      </c>
      <c r="F2011" s="3">
        <v>43678</v>
      </c>
      <c r="G2011" s="2" t="str">
        <f>"9781438475295"</f>
        <v>9781438475295</v>
      </c>
      <c r="H2011" s="2" t="s">
        <v>14</v>
      </c>
      <c r="I2011" s="4">
        <v>43731.288888888892</v>
      </c>
      <c r="J2011" s="2" t="s">
        <v>3992</v>
      </c>
    </row>
    <row r="2012" spans="1:10" ht="135" x14ac:dyDescent="0.25">
      <c r="A2012" s="2" t="s">
        <v>122</v>
      </c>
      <c r="B2012" s="2">
        <v>823.6</v>
      </c>
      <c r="C2012" s="2" t="s">
        <v>12848</v>
      </c>
      <c r="D2012" s="2" t="s">
        <v>12847</v>
      </c>
      <c r="E2012" s="2" t="s">
        <v>4660</v>
      </c>
      <c r="F2012" s="3">
        <v>41827</v>
      </c>
      <c r="G2012" s="2" t="str">
        <f>"9780813163727"</f>
        <v>9780813163727</v>
      </c>
      <c r="H2012" s="2" t="s">
        <v>14</v>
      </c>
      <c r="I2012" s="4">
        <v>42768.754166666666</v>
      </c>
      <c r="J2012" s="2" t="s">
        <v>12849</v>
      </c>
    </row>
    <row r="2013" spans="1:10" ht="135" x14ac:dyDescent="0.25">
      <c r="A2013" s="2" t="s">
        <v>122</v>
      </c>
      <c r="B2013" s="2">
        <v>809</v>
      </c>
      <c r="C2013" s="2" t="s">
        <v>619</v>
      </c>
      <c r="D2013" s="2" t="s">
        <v>1379</v>
      </c>
      <c r="E2013" s="2" t="s">
        <v>37</v>
      </c>
      <c r="F2013" s="3">
        <v>43089</v>
      </c>
      <c r="G2013" s="2" t="str">
        <f>"9783319642420"</f>
        <v>9783319642420</v>
      </c>
      <c r="H2013" s="2" t="s">
        <v>14</v>
      </c>
      <c r="I2013" s="4">
        <v>43945.779861111114</v>
      </c>
      <c r="J2013" s="2" t="s">
        <v>1380</v>
      </c>
    </row>
    <row r="2014" spans="1:10" ht="165" x14ac:dyDescent="0.25">
      <c r="A2014" s="2" t="s">
        <v>122</v>
      </c>
      <c r="B2014" s="2" t="s">
        <v>13079</v>
      </c>
      <c r="C2014" s="2" t="s">
        <v>13080</v>
      </c>
      <c r="D2014" s="2" t="s">
        <v>13078</v>
      </c>
      <c r="E2014" s="2" t="s">
        <v>216</v>
      </c>
      <c r="F2014" s="3">
        <v>37819</v>
      </c>
      <c r="G2014" s="2" t="str">
        <f>"9780791486528"</f>
        <v>9780791486528</v>
      </c>
      <c r="H2014" s="2" t="s">
        <v>14</v>
      </c>
      <c r="I2014" s="4">
        <v>42739.084027777775</v>
      </c>
      <c r="J2014" s="2" t="s">
        <v>13081</v>
      </c>
    </row>
    <row r="2015" spans="1:10" ht="135" x14ac:dyDescent="0.25">
      <c r="A2015" s="2" t="s">
        <v>122</v>
      </c>
      <c r="B2015" s="2" t="s">
        <v>2401</v>
      </c>
      <c r="C2015" s="2" t="s">
        <v>123</v>
      </c>
      <c r="D2015" s="2" t="s">
        <v>2400</v>
      </c>
      <c r="E2015" s="2" t="s">
        <v>41</v>
      </c>
      <c r="F2015" s="3">
        <v>42566</v>
      </c>
      <c r="G2015" s="2" t="str">
        <f>"9780817389918"</f>
        <v>9780817389918</v>
      </c>
      <c r="H2015" s="2" t="s">
        <v>14</v>
      </c>
      <c r="I2015" s="4">
        <v>43887.678472222222</v>
      </c>
      <c r="J2015" s="2" t="s">
        <v>2402</v>
      </c>
    </row>
    <row r="2016" spans="1:10" ht="135" x14ac:dyDescent="0.25">
      <c r="A2016" s="2" t="s">
        <v>122</v>
      </c>
      <c r="B2016" s="2">
        <v>809.93356000000006</v>
      </c>
      <c r="C2016" s="2" t="s">
        <v>2761</v>
      </c>
      <c r="D2016" s="2" t="s">
        <v>2760</v>
      </c>
      <c r="E2016" s="2" t="s">
        <v>310</v>
      </c>
      <c r="F2016" s="3">
        <v>43721</v>
      </c>
      <c r="G2016" s="2" t="str">
        <f>"9780815654483"</f>
        <v>9780815654483</v>
      </c>
      <c r="H2016" s="2" t="s">
        <v>14</v>
      </c>
      <c r="I2016" s="4">
        <v>43858.890277777777</v>
      </c>
      <c r="J2016" s="2" t="s">
        <v>2762</v>
      </c>
    </row>
    <row r="2017" spans="1:10" ht="135" x14ac:dyDescent="0.25">
      <c r="A2017" s="2" t="s">
        <v>122</v>
      </c>
      <c r="B2017" s="2">
        <v>821.7</v>
      </c>
      <c r="C2017" s="2" t="s">
        <v>11855</v>
      </c>
      <c r="D2017" s="2" t="s">
        <v>11854</v>
      </c>
      <c r="E2017" s="2" t="s">
        <v>4660</v>
      </c>
      <c r="F2017" s="3">
        <v>41827</v>
      </c>
      <c r="G2017" s="2" t="str">
        <f>"9780813163208"</f>
        <v>9780813163208</v>
      </c>
      <c r="H2017" s="2" t="s">
        <v>14</v>
      </c>
      <c r="I2017" s="4">
        <v>42881.413194444445</v>
      </c>
      <c r="J2017" s="2" t="s">
        <v>11856</v>
      </c>
    </row>
    <row r="2018" spans="1:10" ht="210" x14ac:dyDescent="0.25">
      <c r="A2018" s="2" t="s">
        <v>122</v>
      </c>
      <c r="B2018" s="2">
        <v>828.70899999999995</v>
      </c>
      <c r="C2018" s="2" t="s">
        <v>8919</v>
      </c>
      <c r="D2018" s="2" t="s">
        <v>8918</v>
      </c>
      <c r="E2018" s="2" t="s">
        <v>4660</v>
      </c>
      <c r="F2018" s="3">
        <v>41827</v>
      </c>
      <c r="G2018" s="2" t="str">
        <f>"9780813163840"</f>
        <v>9780813163840</v>
      </c>
      <c r="H2018" s="2" t="s">
        <v>14</v>
      </c>
      <c r="I2018" s="4">
        <v>43239.413194444445</v>
      </c>
      <c r="J2018" s="2" t="s">
        <v>8920</v>
      </c>
    </row>
    <row r="2019" spans="1:10" ht="135" x14ac:dyDescent="0.25">
      <c r="A2019" s="2" t="s">
        <v>122</v>
      </c>
      <c r="B2019" s="2">
        <v>838.91408999999999</v>
      </c>
      <c r="C2019" s="2" t="s">
        <v>11779</v>
      </c>
      <c r="D2019" s="2" t="s">
        <v>11778</v>
      </c>
      <c r="E2019" s="2" t="s">
        <v>97</v>
      </c>
      <c r="F2019" s="3">
        <v>42297</v>
      </c>
      <c r="G2019" s="2" t="str">
        <f>"9780231540100"</f>
        <v>9780231540100</v>
      </c>
      <c r="H2019" s="2" t="s">
        <v>14</v>
      </c>
      <c r="I2019" s="4">
        <v>42891.746527777781</v>
      </c>
      <c r="J2019" s="2" t="s">
        <v>11780</v>
      </c>
    </row>
    <row r="2020" spans="1:10" ht="135" x14ac:dyDescent="0.25">
      <c r="A2020" s="2" t="s">
        <v>122</v>
      </c>
      <c r="B2020" s="2" t="s">
        <v>7061</v>
      </c>
      <c r="C2020" s="2" t="s">
        <v>7062</v>
      </c>
      <c r="D2020" s="2" t="s">
        <v>7060</v>
      </c>
      <c r="E2020" s="2" t="s">
        <v>28</v>
      </c>
      <c r="F2020" s="3">
        <v>41929</v>
      </c>
      <c r="G2020" s="2" t="str">
        <f>"9780813936130"</f>
        <v>9780813936130</v>
      </c>
      <c r="H2020" s="2" t="s">
        <v>14</v>
      </c>
      <c r="I2020" s="4">
        <v>43453.587500000001</v>
      </c>
      <c r="J2020" s="2" t="s">
        <v>7063</v>
      </c>
    </row>
    <row r="2021" spans="1:10" ht="135" x14ac:dyDescent="0.25">
      <c r="A2021" s="2" t="s">
        <v>122</v>
      </c>
      <c r="B2021" s="2" t="s">
        <v>10338</v>
      </c>
      <c r="C2021" s="2" t="s">
        <v>10339</v>
      </c>
      <c r="D2021" s="2" t="s">
        <v>10337</v>
      </c>
      <c r="E2021" s="2" t="s">
        <v>585</v>
      </c>
      <c r="F2021" s="3">
        <v>40664</v>
      </c>
      <c r="G2021" s="2" t="str">
        <f>"9780226519876"</f>
        <v>9780226519876</v>
      </c>
      <c r="H2021" s="2" t="s">
        <v>14</v>
      </c>
      <c r="I2021" s="4">
        <v>43066.822222222225</v>
      </c>
      <c r="J2021" s="2" t="s">
        <v>10340</v>
      </c>
    </row>
    <row r="2022" spans="1:10" ht="135" x14ac:dyDescent="0.25">
      <c r="A2022" s="2" t="s">
        <v>122</v>
      </c>
      <c r="B2022" s="2" t="s">
        <v>10129</v>
      </c>
      <c r="C2022" s="2" t="s">
        <v>10130</v>
      </c>
      <c r="D2022" s="2" t="s">
        <v>10128</v>
      </c>
      <c r="E2022" s="2" t="s">
        <v>322</v>
      </c>
      <c r="F2022" s="3">
        <v>42050</v>
      </c>
      <c r="G2022" s="2" t="str">
        <f>"9780820347875"</f>
        <v>9780820347875</v>
      </c>
      <c r="H2022" s="2" t="s">
        <v>14</v>
      </c>
      <c r="I2022" s="4">
        <v>43095.70208333333</v>
      </c>
      <c r="J2022" s="2" t="s">
        <v>10131</v>
      </c>
    </row>
    <row r="2023" spans="1:10" ht="135" x14ac:dyDescent="0.25">
      <c r="A2023" s="2" t="s">
        <v>122</v>
      </c>
      <c r="B2023" s="2" t="s">
        <v>12556</v>
      </c>
      <c r="C2023" s="2" t="s">
        <v>12557</v>
      </c>
      <c r="D2023" s="2" t="s">
        <v>12555</v>
      </c>
      <c r="E2023" s="2" t="s">
        <v>54</v>
      </c>
      <c r="F2023" s="3">
        <v>41955</v>
      </c>
      <c r="G2023" s="2" t="str">
        <f>"9780804792790"</f>
        <v>9780804792790</v>
      </c>
      <c r="H2023" s="2" t="s">
        <v>14</v>
      </c>
      <c r="I2023" s="4">
        <v>42795.59097222222</v>
      </c>
      <c r="J2023" s="2" t="s">
        <v>12558</v>
      </c>
    </row>
    <row r="2024" spans="1:10" ht="135" x14ac:dyDescent="0.25">
      <c r="A2024" s="2" t="s">
        <v>122</v>
      </c>
      <c r="B2024" s="2">
        <v>822.05100000000004</v>
      </c>
      <c r="C2024" s="2" t="s">
        <v>2337</v>
      </c>
      <c r="D2024" s="2" t="s">
        <v>2336</v>
      </c>
      <c r="E2024" s="2" t="s">
        <v>50</v>
      </c>
      <c r="F2024" s="3">
        <v>42767</v>
      </c>
      <c r="G2024" s="2" t="str">
        <f>"9780803296671"</f>
        <v>9780803296671</v>
      </c>
      <c r="H2024" s="2" t="s">
        <v>14</v>
      </c>
      <c r="I2024" s="4">
        <v>43892.618750000001</v>
      </c>
      <c r="J2024" s="2" t="s">
        <v>2338</v>
      </c>
    </row>
    <row r="2025" spans="1:10" ht="165" x14ac:dyDescent="0.25">
      <c r="A2025" s="2" t="s">
        <v>122</v>
      </c>
      <c r="B2025" s="2" t="s">
        <v>10399</v>
      </c>
      <c r="C2025" s="2" t="s">
        <v>10400</v>
      </c>
      <c r="D2025" s="2" t="s">
        <v>10398</v>
      </c>
      <c r="E2025" s="2" t="s">
        <v>73</v>
      </c>
      <c r="F2025" s="3">
        <v>41791</v>
      </c>
      <c r="G2025" s="2" t="str">
        <f>"9781452942063"</f>
        <v>9781452942063</v>
      </c>
      <c r="H2025" s="2" t="s">
        <v>14</v>
      </c>
      <c r="I2025" s="4">
        <v>43060.727777777778</v>
      </c>
      <c r="J2025" s="2" t="s">
        <v>10401</v>
      </c>
    </row>
    <row r="2026" spans="1:10" ht="135" x14ac:dyDescent="0.25">
      <c r="A2026" s="2" t="s">
        <v>122</v>
      </c>
      <c r="B2026" s="2">
        <v>822.33</v>
      </c>
      <c r="C2026" s="2" t="s">
        <v>9132</v>
      </c>
      <c r="D2026" s="2" t="s">
        <v>9131</v>
      </c>
      <c r="E2026" s="2" t="s">
        <v>4660</v>
      </c>
      <c r="F2026" s="3">
        <v>33122</v>
      </c>
      <c r="G2026" s="2" t="str">
        <f>"9780813157252"</f>
        <v>9780813157252</v>
      </c>
      <c r="H2026" s="2" t="s">
        <v>14</v>
      </c>
      <c r="I2026" s="4">
        <v>43213.865972222222</v>
      </c>
      <c r="J2026" s="2" t="s">
        <v>9133</v>
      </c>
    </row>
    <row r="2027" spans="1:10" ht="150" x14ac:dyDescent="0.25">
      <c r="A2027" s="2" t="s">
        <v>122</v>
      </c>
      <c r="B2027" s="2">
        <v>822.33</v>
      </c>
      <c r="C2027" s="2" t="s">
        <v>9362</v>
      </c>
      <c r="D2027" s="2" t="s">
        <v>9361</v>
      </c>
      <c r="E2027" s="2" t="s">
        <v>8718</v>
      </c>
      <c r="F2027" s="3">
        <v>41515</v>
      </c>
      <c r="G2027" s="2" t="str">
        <f>"9781611475616"</f>
        <v>9781611475616</v>
      </c>
      <c r="H2027" s="2" t="s">
        <v>14</v>
      </c>
      <c r="I2027" s="4">
        <v>43179.313194444447</v>
      </c>
      <c r="J2027" s="2" t="s">
        <v>9363</v>
      </c>
    </row>
    <row r="2028" spans="1:10" ht="135" x14ac:dyDescent="0.25">
      <c r="A2028" s="2" t="s">
        <v>122</v>
      </c>
      <c r="B2028" s="2">
        <v>822.33</v>
      </c>
      <c r="C2028" s="2" t="s">
        <v>5811</v>
      </c>
      <c r="D2028" s="2" t="s">
        <v>5810</v>
      </c>
      <c r="E2028" s="2" t="s">
        <v>101</v>
      </c>
      <c r="F2028" s="3">
        <v>42870</v>
      </c>
      <c r="G2028" s="2" t="str">
        <f>"9780810135185"</f>
        <v>9780810135185</v>
      </c>
      <c r="H2028" s="2" t="s">
        <v>14</v>
      </c>
      <c r="I2028" s="4">
        <v>43568.561111111114</v>
      </c>
      <c r="J2028" s="2" t="s">
        <v>5812</v>
      </c>
    </row>
    <row r="2029" spans="1:10" ht="135" x14ac:dyDescent="0.25">
      <c r="A2029" s="2" t="s">
        <v>122</v>
      </c>
      <c r="B2029" s="2">
        <v>822.33</v>
      </c>
      <c r="C2029" s="2" t="s">
        <v>11863</v>
      </c>
      <c r="D2029" s="2" t="s">
        <v>11862</v>
      </c>
      <c r="E2029" s="2" t="s">
        <v>436</v>
      </c>
      <c r="F2029" s="3">
        <v>39810</v>
      </c>
      <c r="G2029" s="2" t="str">
        <f>"9781441149473"</f>
        <v>9781441149473</v>
      </c>
      <c r="H2029" s="2" t="s">
        <v>14</v>
      </c>
      <c r="I2029" s="4">
        <v>42878.604166666664</v>
      </c>
      <c r="J2029" s="2" t="s">
        <v>11864</v>
      </c>
    </row>
    <row r="2030" spans="1:10" ht="135" x14ac:dyDescent="0.25">
      <c r="A2030" s="2" t="s">
        <v>122</v>
      </c>
      <c r="B2030" s="2" t="s">
        <v>3262</v>
      </c>
      <c r="C2030" s="2" t="s">
        <v>5521</v>
      </c>
      <c r="D2030" s="2" t="s">
        <v>5520</v>
      </c>
      <c r="E2030" s="2" t="s">
        <v>846</v>
      </c>
      <c r="F2030" s="3">
        <v>42501</v>
      </c>
      <c r="G2030" s="2" t="str">
        <f>"9781442622166"</f>
        <v>9781442622166</v>
      </c>
      <c r="H2030" s="2" t="s">
        <v>14</v>
      </c>
      <c r="I2030" s="4">
        <v>43593.424305555556</v>
      </c>
      <c r="J2030" s="2" t="s">
        <v>5522</v>
      </c>
    </row>
    <row r="2031" spans="1:10" ht="165" x14ac:dyDescent="0.25">
      <c r="A2031" s="2" t="s">
        <v>122</v>
      </c>
      <c r="B2031" s="2">
        <v>809.89287000000002</v>
      </c>
      <c r="C2031" s="2" t="s">
        <v>619</v>
      </c>
      <c r="D2031" s="2" t="s">
        <v>7218</v>
      </c>
      <c r="E2031" s="2" t="s">
        <v>37</v>
      </c>
      <c r="F2031" s="3">
        <v>42613</v>
      </c>
      <c r="G2031" s="2" t="str">
        <f>"9783319317113"</f>
        <v>9783319317113</v>
      </c>
      <c r="H2031" s="2" t="s">
        <v>14</v>
      </c>
      <c r="I2031" s="4">
        <v>43433.657638888886</v>
      </c>
      <c r="J2031" s="2" t="s">
        <v>7219</v>
      </c>
    </row>
    <row r="2032" spans="1:10" ht="135" x14ac:dyDescent="0.25">
      <c r="A2032" s="2" t="s">
        <v>122</v>
      </c>
      <c r="B2032" s="2" t="s">
        <v>9281</v>
      </c>
      <c r="C2032" s="2" t="s">
        <v>9282</v>
      </c>
      <c r="D2032" s="2" t="s">
        <v>9280</v>
      </c>
      <c r="E2032" s="2" t="s">
        <v>73</v>
      </c>
      <c r="F2032" s="3">
        <v>42348</v>
      </c>
      <c r="G2032" s="2" t="str">
        <f>"9781452945552"</f>
        <v>9781452945552</v>
      </c>
      <c r="H2032" s="2" t="s">
        <v>14</v>
      </c>
      <c r="I2032" s="4">
        <v>43191.517361111109</v>
      </c>
      <c r="J2032" s="2" t="s">
        <v>9283</v>
      </c>
    </row>
    <row r="2033" spans="1:10" ht="135" x14ac:dyDescent="0.25">
      <c r="A2033" s="2" t="s">
        <v>122</v>
      </c>
      <c r="B2033" s="2">
        <v>892.43609000000004</v>
      </c>
      <c r="C2033" s="2" t="s">
        <v>4236</v>
      </c>
      <c r="D2033" s="2" t="s">
        <v>4235</v>
      </c>
      <c r="E2033" s="2" t="s">
        <v>216</v>
      </c>
      <c r="F2033" s="3">
        <v>43374</v>
      </c>
      <c r="G2033" s="2" t="str">
        <f>"9781438472454"</f>
        <v>9781438472454</v>
      </c>
      <c r="H2033" s="2" t="s">
        <v>14</v>
      </c>
      <c r="I2033" s="4">
        <v>43690.577777777777</v>
      </c>
      <c r="J2033" s="2" t="s">
        <v>4237</v>
      </c>
    </row>
    <row r="2034" spans="1:10" ht="135" x14ac:dyDescent="0.25">
      <c r="A2034" s="2" t="s">
        <v>122</v>
      </c>
      <c r="B2034" s="2">
        <v>829.1</v>
      </c>
      <c r="C2034" s="2" t="s">
        <v>9359</v>
      </c>
      <c r="D2034" s="2" t="s">
        <v>9358</v>
      </c>
      <c r="E2034" s="2" t="s">
        <v>130</v>
      </c>
      <c r="F2034" s="3">
        <v>42899</v>
      </c>
      <c r="G2034" s="2" t="str">
        <f>"9780813052922"</f>
        <v>9780813052922</v>
      </c>
      <c r="H2034" s="2" t="s">
        <v>14</v>
      </c>
      <c r="I2034" s="4">
        <v>43179.640972222223</v>
      </c>
      <c r="J2034" s="2" t="s">
        <v>9360</v>
      </c>
    </row>
    <row r="2035" spans="1:10" ht="135" x14ac:dyDescent="0.25">
      <c r="A2035" s="2" t="s">
        <v>122</v>
      </c>
      <c r="B2035" s="2" t="s">
        <v>2539</v>
      </c>
      <c r="C2035" s="2" t="s">
        <v>2540</v>
      </c>
      <c r="D2035" s="2" t="s">
        <v>2538</v>
      </c>
      <c r="E2035" s="2" t="s">
        <v>109</v>
      </c>
      <c r="F2035" s="3">
        <v>42528</v>
      </c>
      <c r="G2035" s="2" t="str">
        <f>"9780819576255"</f>
        <v>9780819576255</v>
      </c>
      <c r="H2035" s="2" t="s">
        <v>14</v>
      </c>
      <c r="I2035" s="4">
        <v>43877.553472222222</v>
      </c>
      <c r="J2035" s="2" t="s">
        <v>2541</v>
      </c>
    </row>
    <row r="2036" spans="1:10" ht="135" x14ac:dyDescent="0.25">
      <c r="A2036" s="2" t="s">
        <v>122</v>
      </c>
      <c r="B2036" s="2">
        <v>822.30899999999997</v>
      </c>
      <c r="C2036" s="2" t="s">
        <v>4841</v>
      </c>
      <c r="D2036" s="2" t="s">
        <v>4840</v>
      </c>
      <c r="E2036" s="2" t="s">
        <v>101</v>
      </c>
      <c r="F2036" s="3">
        <v>42870</v>
      </c>
      <c r="G2036" s="2" t="str">
        <f>"9780810135031"</f>
        <v>9780810135031</v>
      </c>
      <c r="H2036" s="2" t="s">
        <v>14</v>
      </c>
      <c r="I2036" s="4">
        <v>43622.888888888891</v>
      </c>
      <c r="J2036" s="2" t="s">
        <v>4842</v>
      </c>
    </row>
    <row r="2037" spans="1:10" ht="180" x14ac:dyDescent="0.25">
      <c r="A2037" s="2" t="s">
        <v>122</v>
      </c>
      <c r="B2037" s="2">
        <v>863.6</v>
      </c>
      <c r="C2037" s="2" t="s">
        <v>2528</v>
      </c>
      <c r="D2037" s="2" t="s">
        <v>2527</v>
      </c>
      <c r="E2037" s="2" t="s">
        <v>723</v>
      </c>
      <c r="F2037" s="3">
        <v>41501</v>
      </c>
      <c r="G2037" s="2" t="str">
        <f>"9781612492872"</f>
        <v>9781612492872</v>
      </c>
      <c r="H2037" s="2" t="s">
        <v>14</v>
      </c>
      <c r="I2037" s="4">
        <v>43879.590277777781</v>
      </c>
      <c r="J2037" s="2" t="s">
        <v>2529</v>
      </c>
    </row>
    <row r="2038" spans="1:10" ht="135" x14ac:dyDescent="0.25">
      <c r="A2038" s="2" t="s">
        <v>122</v>
      </c>
      <c r="B2038" s="2" t="s">
        <v>12503</v>
      </c>
      <c r="C2038" s="2" t="s">
        <v>12504</v>
      </c>
      <c r="D2038" s="2" t="s">
        <v>12502</v>
      </c>
      <c r="E2038" s="2" t="s">
        <v>578</v>
      </c>
      <c r="F2038" s="3">
        <v>42506</v>
      </c>
      <c r="G2038" s="2" t="str">
        <f>"9780252098468"</f>
        <v>9780252098468</v>
      </c>
      <c r="H2038" s="2" t="s">
        <v>14</v>
      </c>
      <c r="I2038" s="4">
        <v>42800.867361111108</v>
      </c>
      <c r="J2038" s="2" t="s">
        <v>12505</v>
      </c>
    </row>
    <row r="2039" spans="1:10" ht="135" x14ac:dyDescent="0.25">
      <c r="A2039" s="2" t="s">
        <v>122</v>
      </c>
      <c r="B2039" s="2" t="s">
        <v>1413</v>
      </c>
      <c r="C2039" s="2" t="s">
        <v>1414</v>
      </c>
      <c r="D2039" s="2" t="s">
        <v>1411</v>
      </c>
      <c r="E2039" s="2" t="s">
        <v>1412</v>
      </c>
      <c r="F2039" s="3">
        <v>40299</v>
      </c>
      <c r="G2039" s="2" t="str">
        <f>"9780838758090"</f>
        <v>9780838758090</v>
      </c>
      <c r="H2039" s="2" t="s">
        <v>14</v>
      </c>
      <c r="I2039" s="4">
        <v>43944.643055555556</v>
      </c>
      <c r="J2039" s="2" t="s">
        <v>1415</v>
      </c>
    </row>
    <row r="2040" spans="1:10" ht="135" x14ac:dyDescent="0.25">
      <c r="A2040" s="2" t="s">
        <v>122</v>
      </c>
      <c r="B2040" s="2" t="s">
        <v>11198</v>
      </c>
      <c r="C2040" s="2" t="s">
        <v>11199</v>
      </c>
      <c r="D2040" s="2" t="s">
        <v>11197</v>
      </c>
      <c r="E2040" s="2" t="s">
        <v>284</v>
      </c>
      <c r="F2040" s="3">
        <v>38260</v>
      </c>
      <c r="G2040" s="2" t="str">
        <f>"9780824864330"</f>
        <v>9780824864330</v>
      </c>
      <c r="H2040" s="2" t="s">
        <v>14</v>
      </c>
      <c r="I2040" s="4">
        <v>43007.61041666667</v>
      </c>
      <c r="J2040" s="2" t="s">
        <v>11200</v>
      </c>
    </row>
    <row r="2041" spans="1:10" ht="135" x14ac:dyDescent="0.25">
      <c r="A2041" s="2" t="s">
        <v>122</v>
      </c>
      <c r="B2041" s="2">
        <v>809.89287000000002</v>
      </c>
      <c r="C2041" s="2" t="s">
        <v>3559</v>
      </c>
      <c r="D2041" s="2" t="s">
        <v>3558</v>
      </c>
      <c r="E2041" s="2" t="s">
        <v>2909</v>
      </c>
      <c r="F2041" s="3">
        <v>42369</v>
      </c>
      <c r="G2041" s="2" t="str">
        <f>"9789785421583"</f>
        <v>9789785421583</v>
      </c>
      <c r="H2041" s="2" t="s">
        <v>14</v>
      </c>
      <c r="I2041" s="4">
        <v>43775.681944444441</v>
      </c>
      <c r="J2041" s="2" t="s">
        <v>3560</v>
      </c>
    </row>
    <row r="2042" spans="1:10" ht="135" x14ac:dyDescent="0.25">
      <c r="A2042" s="2" t="s">
        <v>122</v>
      </c>
      <c r="B2042" s="2" t="s">
        <v>2835</v>
      </c>
      <c r="C2042" s="2" t="s">
        <v>2836</v>
      </c>
      <c r="D2042" s="2" t="s">
        <v>2834</v>
      </c>
      <c r="E2042" s="2" t="s">
        <v>136</v>
      </c>
      <c r="F2042" s="3">
        <v>42658</v>
      </c>
      <c r="G2042" s="2" t="str">
        <f>"9781609384661"</f>
        <v>9781609384661</v>
      </c>
      <c r="H2042" s="2" t="s">
        <v>14</v>
      </c>
      <c r="I2042" s="4">
        <v>43850.738888888889</v>
      </c>
      <c r="J2042" s="2" t="s">
        <v>2837</v>
      </c>
    </row>
    <row r="2043" spans="1:10" ht="135" x14ac:dyDescent="0.25">
      <c r="A2043" s="2" t="s">
        <v>122</v>
      </c>
      <c r="B2043" s="2" t="s">
        <v>1413</v>
      </c>
      <c r="C2043" s="2" t="s">
        <v>6817</v>
      </c>
      <c r="D2043" s="2" t="s">
        <v>6816</v>
      </c>
      <c r="E2043" s="2" t="s">
        <v>6261</v>
      </c>
      <c r="F2043" s="3">
        <v>36069</v>
      </c>
      <c r="G2043" s="2" t="str">
        <f>"9781926829098"</f>
        <v>9781926829098</v>
      </c>
      <c r="H2043" s="2" t="s">
        <v>14</v>
      </c>
      <c r="I2043" s="4">
        <v>43483.740277777775</v>
      </c>
      <c r="J2043" s="2" t="s">
        <v>6818</v>
      </c>
    </row>
    <row r="2044" spans="1:10" ht="135" x14ac:dyDescent="0.25">
      <c r="A2044" s="2" t="s">
        <v>122</v>
      </c>
      <c r="B2044" s="2" t="s">
        <v>8518</v>
      </c>
      <c r="C2044" s="2" t="s">
        <v>8519</v>
      </c>
      <c r="D2044" s="2" t="s">
        <v>8517</v>
      </c>
      <c r="E2044" s="2" t="s">
        <v>54</v>
      </c>
      <c r="F2044" s="3">
        <v>42333</v>
      </c>
      <c r="G2044" s="2" t="str">
        <f>"9780804796231"</f>
        <v>9780804796231</v>
      </c>
      <c r="H2044" s="2" t="s">
        <v>14</v>
      </c>
      <c r="I2044" s="4">
        <v>43297.681250000001</v>
      </c>
      <c r="J2044" s="2" t="s">
        <v>8520</v>
      </c>
    </row>
    <row r="2045" spans="1:10" ht="135" x14ac:dyDescent="0.25">
      <c r="A2045" s="2" t="s">
        <v>122</v>
      </c>
      <c r="B2045" s="2">
        <v>895.11409000000003</v>
      </c>
      <c r="C2045" s="2" t="s">
        <v>3820</v>
      </c>
      <c r="D2045" s="2" t="s">
        <v>3819</v>
      </c>
      <c r="E2045" s="2" t="s">
        <v>221</v>
      </c>
      <c r="F2045" s="3">
        <v>42017</v>
      </c>
      <c r="G2045" s="2" t="str">
        <f>"9789888313006"</f>
        <v>9789888313006</v>
      </c>
      <c r="H2045" s="2" t="s">
        <v>14</v>
      </c>
      <c r="I2045" s="4">
        <v>43752.5625</v>
      </c>
      <c r="J2045" s="2" t="s">
        <v>3821</v>
      </c>
    </row>
    <row r="2046" spans="1:10" ht="150" x14ac:dyDescent="0.25">
      <c r="A2046" s="2" t="s">
        <v>122</v>
      </c>
      <c r="B2046" s="2">
        <v>868.62090000000001</v>
      </c>
      <c r="C2046" s="2" t="s">
        <v>5616</v>
      </c>
      <c r="D2046" s="2" t="s">
        <v>5615</v>
      </c>
      <c r="E2046" s="2" t="s">
        <v>846</v>
      </c>
      <c r="F2046" s="3">
        <v>43045</v>
      </c>
      <c r="G2046" s="2" t="str">
        <f>"9781487514334"</f>
        <v>9781487514334</v>
      </c>
      <c r="H2046" s="2" t="s">
        <v>14</v>
      </c>
      <c r="I2046" s="4">
        <v>43586.382638888892</v>
      </c>
      <c r="J2046" s="2" t="s">
        <v>5617</v>
      </c>
    </row>
    <row r="2047" spans="1:10" ht="135" x14ac:dyDescent="0.25">
      <c r="A2047" s="2" t="s">
        <v>122</v>
      </c>
      <c r="B2047" s="2" t="s">
        <v>12925</v>
      </c>
      <c r="C2047" s="2" t="s">
        <v>12926</v>
      </c>
      <c r="D2047" s="2" t="s">
        <v>12924</v>
      </c>
      <c r="E2047" s="2" t="s">
        <v>69</v>
      </c>
      <c r="F2047" s="3">
        <v>42450</v>
      </c>
      <c r="G2047" s="2" t="str">
        <f>"9780253020994"</f>
        <v>9780253020994</v>
      </c>
      <c r="H2047" s="2" t="s">
        <v>14</v>
      </c>
      <c r="I2047" s="4">
        <v>42758.65902777778</v>
      </c>
      <c r="J2047" s="2" t="s">
        <v>12927</v>
      </c>
    </row>
    <row r="2048" spans="1:10" ht="135" x14ac:dyDescent="0.25">
      <c r="A2048" s="2" t="s">
        <v>122</v>
      </c>
      <c r="B2048" s="2">
        <v>809.38699999999994</v>
      </c>
      <c r="C2048" s="2" t="s">
        <v>10040</v>
      </c>
      <c r="D2048" s="2" t="s">
        <v>10039</v>
      </c>
      <c r="E2048" s="2" t="s">
        <v>80</v>
      </c>
      <c r="F2048" s="3">
        <v>41697</v>
      </c>
      <c r="G2048" s="2" t="str">
        <f>"9783653028584"</f>
        <v>9783653028584</v>
      </c>
      <c r="H2048" s="2" t="s">
        <v>14</v>
      </c>
      <c r="I2048" s="4">
        <v>43109.464583333334</v>
      </c>
      <c r="J2048" s="2" t="s">
        <v>10041</v>
      </c>
    </row>
    <row r="2049" spans="1:10" ht="135" x14ac:dyDescent="0.25">
      <c r="A2049" s="2" t="s">
        <v>122</v>
      </c>
      <c r="B2049" s="2">
        <v>801.95</v>
      </c>
      <c r="C2049" s="2" t="s">
        <v>10087</v>
      </c>
      <c r="D2049" s="2" t="s">
        <v>10086</v>
      </c>
      <c r="E2049" s="2" t="s">
        <v>101</v>
      </c>
      <c r="F2049" s="3">
        <v>42809</v>
      </c>
      <c r="G2049" s="2" t="str">
        <f>"9780810134324"</f>
        <v>9780810134324</v>
      </c>
      <c r="H2049" s="2" t="s">
        <v>14</v>
      </c>
      <c r="I2049" s="4">
        <v>43104.695138888892</v>
      </c>
      <c r="J2049" s="2" t="s">
        <v>10088</v>
      </c>
    </row>
    <row r="2050" spans="1:10" ht="150" x14ac:dyDescent="0.25">
      <c r="A2050" s="2" t="s">
        <v>122</v>
      </c>
      <c r="B2050" s="2">
        <v>809.3</v>
      </c>
      <c r="C2050" s="2" t="s">
        <v>4472</v>
      </c>
      <c r="D2050" s="2" t="s">
        <v>4471</v>
      </c>
      <c r="E2050" s="2" t="s">
        <v>50</v>
      </c>
      <c r="F2050" s="3">
        <v>42705</v>
      </c>
      <c r="G2050" s="2" t="str">
        <f>"9780803296756"</f>
        <v>9780803296756</v>
      </c>
      <c r="H2050" s="2" t="s">
        <v>14</v>
      </c>
      <c r="I2050" s="4">
        <v>43663.549305555556</v>
      </c>
      <c r="J2050" s="2" t="s">
        <v>4473</v>
      </c>
    </row>
    <row r="2051" spans="1:10" ht="135" x14ac:dyDescent="0.25">
      <c r="A2051" s="2" t="s">
        <v>122</v>
      </c>
      <c r="B2051" s="2" t="s">
        <v>634</v>
      </c>
      <c r="C2051" s="2" t="s">
        <v>6247</v>
      </c>
      <c r="D2051" s="2" t="s">
        <v>6246</v>
      </c>
      <c r="E2051" s="2" t="s">
        <v>723</v>
      </c>
      <c r="F2051" s="3">
        <v>42870</v>
      </c>
      <c r="G2051" s="2" t="str">
        <f>"9781612495002"</f>
        <v>9781612495002</v>
      </c>
      <c r="H2051" s="2" t="s">
        <v>14</v>
      </c>
      <c r="I2051" s="4">
        <v>43530.375694444447</v>
      </c>
      <c r="J2051" s="2" t="s">
        <v>6248</v>
      </c>
    </row>
    <row r="2052" spans="1:10" ht="135" x14ac:dyDescent="0.25">
      <c r="A2052" s="2" t="s">
        <v>122</v>
      </c>
      <c r="B2052" s="2">
        <v>809.10320989599995</v>
      </c>
      <c r="C2052" s="2" t="s">
        <v>202</v>
      </c>
      <c r="D2052" s="2" t="s">
        <v>201</v>
      </c>
      <c r="E2052" s="2" t="s">
        <v>121</v>
      </c>
      <c r="F2052" s="3">
        <v>43739</v>
      </c>
      <c r="G2052" s="2" t="str">
        <f>"9781609176136"</f>
        <v>9781609176136</v>
      </c>
      <c r="H2052" s="2" t="s">
        <v>14</v>
      </c>
      <c r="I2052" s="4">
        <v>44060.645833333336</v>
      </c>
      <c r="J2052" s="2" t="s">
        <v>203</v>
      </c>
    </row>
    <row r="2053" spans="1:10" ht="135" x14ac:dyDescent="0.25">
      <c r="A2053" s="2" t="s">
        <v>122</v>
      </c>
      <c r="B2053" s="2" t="s">
        <v>456</v>
      </c>
      <c r="C2053" s="2" t="s">
        <v>457</v>
      </c>
      <c r="D2053" s="2" t="s">
        <v>454</v>
      </c>
      <c r="E2053" s="2" t="s">
        <v>455</v>
      </c>
      <c r="F2053" s="3">
        <v>43221</v>
      </c>
      <c r="G2053" s="2" t="str">
        <f>"9781631013218"</f>
        <v>9781631013218</v>
      </c>
      <c r="H2053" s="2" t="s">
        <v>14</v>
      </c>
      <c r="I2053" s="4">
        <v>44022.313888888886</v>
      </c>
      <c r="J2053" s="2" t="s">
        <v>458</v>
      </c>
    </row>
    <row r="2054" spans="1:10" ht="135" x14ac:dyDescent="0.25">
      <c r="A2054" s="2" t="s">
        <v>122</v>
      </c>
      <c r="B2054" s="2">
        <v>809</v>
      </c>
      <c r="C2054" s="2" t="s">
        <v>5395</v>
      </c>
      <c r="D2054" s="2" t="s">
        <v>5394</v>
      </c>
      <c r="E2054" s="2" t="s">
        <v>73</v>
      </c>
      <c r="F2054" s="3">
        <v>43347</v>
      </c>
      <c r="G2054" s="2" t="str">
        <f>"9781452958002"</f>
        <v>9781452958002</v>
      </c>
      <c r="H2054" s="2" t="s">
        <v>14</v>
      </c>
      <c r="I2054" s="4">
        <v>43602.442361111112</v>
      </c>
      <c r="J2054" s="2" t="s">
        <v>5396</v>
      </c>
    </row>
    <row r="2055" spans="1:10" ht="135" x14ac:dyDescent="0.25">
      <c r="A2055" s="2" t="s">
        <v>122</v>
      </c>
      <c r="B2055" s="2" t="s">
        <v>7084</v>
      </c>
      <c r="C2055" s="2" t="s">
        <v>7085</v>
      </c>
      <c r="D2055" s="2" t="s">
        <v>7083</v>
      </c>
      <c r="E2055" s="2" t="s">
        <v>2798</v>
      </c>
      <c r="F2055" s="3">
        <v>42607</v>
      </c>
      <c r="G2055" s="2" t="str">
        <f>"9781496808493"</f>
        <v>9781496808493</v>
      </c>
      <c r="H2055" s="2" t="s">
        <v>14</v>
      </c>
      <c r="I2055" s="4">
        <v>43450.961805555555</v>
      </c>
      <c r="J2055" s="2" t="s">
        <v>7086</v>
      </c>
    </row>
    <row r="2056" spans="1:10" ht="135" x14ac:dyDescent="0.25">
      <c r="A2056" s="2" t="s">
        <v>122</v>
      </c>
      <c r="B2056" s="2">
        <v>895.63209357999995</v>
      </c>
      <c r="C2056" s="2" t="s">
        <v>11486</v>
      </c>
      <c r="D2056" s="2" t="s">
        <v>11485</v>
      </c>
      <c r="E2056" s="2" t="s">
        <v>284</v>
      </c>
      <c r="F2056" s="3">
        <v>38718</v>
      </c>
      <c r="G2056" s="2" t="str">
        <f>"9780824864538"</f>
        <v>9780824864538</v>
      </c>
      <c r="H2056" s="2" t="s">
        <v>14</v>
      </c>
      <c r="I2056" s="4">
        <v>42949.3125</v>
      </c>
      <c r="J2056" s="2" t="s">
        <v>11487</v>
      </c>
    </row>
    <row r="2057" spans="1:10" ht="150" x14ac:dyDescent="0.25">
      <c r="A2057" s="2" t="s">
        <v>122</v>
      </c>
      <c r="B2057" s="2" t="s">
        <v>5752</v>
      </c>
      <c r="C2057" s="2" t="s">
        <v>5753</v>
      </c>
      <c r="D2057" s="2" t="s">
        <v>5751</v>
      </c>
      <c r="E2057" s="2" t="s">
        <v>54</v>
      </c>
      <c r="F2057" s="3">
        <v>41829</v>
      </c>
      <c r="G2057" s="2" t="str">
        <f>"9780804791601"</f>
        <v>9780804791601</v>
      </c>
      <c r="H2057" s="2" t="s">
        <v>14</v>
      </c>
      <c r="I2057" s="4">
        <v>43574.832638888889</v>
      </c>
      <c r="J2057" s="2" t="s">
        <v>5754</v>
      </c>
    </row>
    <row r="2058" spans="1:10" ht="135" x14ac:dyDescent="0.25">
      <c r="A2058" s="2" t="s">
        <v>122</v>
      </c>
      <c r="B2058" s="2">
        <v>810.80971</v>
      </c>
      <c r="C2058" s="2" t="s">
        <v>4305</v>
      </c>
      <c r="D2058" s="2" t="s">
        <v>4304</v>
      </c>
      <c r="E2058" s="2" t="s">
        <v>3924</v>
      </c>
      <c r="F2058" s="3">
        <v>42548</v>
      </c>
      <c r="G2058" s="2" t="str">
        <f>"9781772122848"</f>
        <v>9781772122848</v>
      </c>
      <c r="H2058" s="2" t="s">
        <v>14</v>
      </c>
      <c r="I2058" s="4">
        <v>43684.431944444441</v>
      </c>
      <c r="J2058" s="2" t="s">
        <v>4306</v>
      </c>
    </row>
    <row r="2059" spans="1:10" ht="135" x14ac:dyDescent="0.25">
      <c r="A2059" s="2" t="s">
        <v>122</v>
      </c>
      <c r="B2059" s="2" t="s">
        <v>2640</v>
      </c>
      <c r="C2059" s="2" t="s">
        <v>2641</v>
      </c>
      <c r="D2059" s="2" t="s">
        <v>10779</v>
      </c>
      <c r="E2059" s="2" t="s">
        <v>41</v>
      </c>
      <c r="F2059" s="3">
        <v>42019</v>
      </c>
      <c r="G2059" s="2" t="str">
        <f>"9780817387976"</f>
        <v>9780817387976</v>
      </c>
      <c r="H2059" s="2" t="s">
        <v>14</v>
      </c>
      <c r="I2059" s="4">
        <v>43037.727083333331</v>
      </c>
      <c r="J2059" s="2" t="s">
        <v>10780</v>
      </c>
    </row>
    <row r="2060" spans="1:10" ht="135" x14ac:dyDescent="0.25">
      <c r="A2060" s="2" t="s">
        <v>122</v>
      </c>
      <c r="B2060" s="2">
        <v>821.8</v>
      </c>
      <c r="C2060" s="2" t="s">
        <v>619</v>
      </c>
      <c r="D2060" s="2" t="s">
        <v>1571</v>
      </c>
      <c r="E2060" s="2" t="s">
        <v>37</v>
      </c>
      <c r="F2060" s="3">
        <v>43118</v>
      </c>
      <c r="G2060" s="2" t="str">
        <f>"9783319661100"</f>
        <v>9783319661100</v>
      </c>
      <c r="H2060" s="2" t="s">
        <v>14</v>
      </c>
      <c r="I2060" s="4">
        <v>43937.381249999999</v>
      </c>
      <c r="J2060" s="2" t="s">
        <v>1572</v>
      </c>
    </row>
    <row r="2061" spans="1:10" ht="150" x14ac:dyDescent="0.25">
      <c r="A2061" s="2" t="s">
        <v>122</v>
      </c>
      <c r="B2061" s="2">
        <v>860.9</v>
      </c>
      <c r="C2061" s="2" t="s">
        <v>8792</v>
      </c>
      <c r="D2061" s="2" t="s">
        <v>8791</v>
      </c>
      <c r="E2061" s="2" t="s">
        <v>216</v>
      </c>
      <c r="F2061" s="3">
        <v>43040</v>
      </c>
      <c r="G2061" s="2" t="str">
        <f>"9781438466712"</f>
        <v>9781438466712</v>
      </c>
      <c r="H2061" s="2" t="s">
        <v>14</v>
      </c>
      <c r="I2061" s="4">
        <v>43252.088888888888</v>
      </c>
      <c r="J2061" s="2" t="s">
        <v>8793</v>
      </c>
    </row>
    <row r="2062" spans="1:10" ht="135" x14ac:dyDescent="0.25">
      <c r="A2062" s="2" t="s">
        <v>122</v>
      </c>
      <c r="B2062" s="2" t="s">
        <v>2835</v>
      </c>
      <c r="C2062" s="2" t="s">
        <v>6436</v>
      </c>
      <c r="D2062" s="2" t="s">
        <v>6435</v>
      </c>
      <c r="E2062" s="2" t="s">
        <v>136</v>
      </c>
      <c r="F2062" s="3">
        <v>43054</v>
      </c>
      <c r="G2062" s="2" t="str">
        <f>"9781609385408"</f>
        <v>9781609385408</v>
      </c>
      <c r="H2062" s="2" t="s">
        <v>14</v>
      </c>
      <c r="I2062" s="4">
        <v>43517.919444444444</v>
      </c>
      <c r="J2062" s="2" t="s">
        <v>6437</v>
      </c>
    </row>
    <row r="2063" spans="1:10" ht="135" x14ac:dyDescent="0.25">
      <c r="A2063" s="2" t="s">
        <v>122</v>
      </c>
      <c r="B2063" s="2" t="s">
        <v>2640</v>
      </c>
      <c r="C2063" s="2" t="s">
        <v>12980</v>
      </c>
      <c r="D2063" s="2" t="s">
        <v>12979</v>
      </c>
      <c r="E2063" s="2" t="s">
        <v>73</v>
      </c>
      <c r="F2063" s="3">
        <v>42461</v>
      </c>
      <c r="G2063" s="2" t="str">
        <f>"9781452950235"</f>
        <v>9781452950235</v>
      </c>
      <c r="H2063" s="2" t="s">
        <v>14</v>
      </c>
      <c r="I2063" s="4">
        <v>42750.868055555555</v>
      </c>
      <c r="J2063" s="2" t="s">
        <v>12981</v>
      </c>
    </row>
    <row r="2064" spans="1:10" ht="135" x14ac:dyDescent="0.25">
      <c r="A2064" s="2" t="s">
        <v>122</v>
      </c>
      <c r="B2064" s="2" t="s">
        <v>9833</v>
      </c>
      <c r="C2064" s="2" t="s">
        <v>10185</v>
      </c>
      <c r="D2064" s="2" t="s">
        <v>10184</v>
      </c>
      <c r="E2064" s="2" t="s">
        <v>4660</v>
      </c>
      <c r="F2064" s="3">
        <v>32509</v>
      </c>
      <c r="G2064" s="2" t="str">
        <f>"9780813157436"</f>
        <v>9780813157436</v>
      </c>
      <c r="H2064" s="2" t="s">
        <v>14</v>
      </c>
      <c r="I2064" s="4">
        <v>43084.789583333331</v>
      </c>
      <c r="J2064" s="2" t="s">
        <v>10186</v>
      </c>
    </row>
    <row r="2065" spans="1:10" ht="135" x14ac:dyDescent="0.25">
      <c r="A2065" s="2" t="s">
        <v>122</v>
      </c>
      <c r="B2065" s="2">
        <v>809.93353000000002</v>
      </c>
      <c r="C2065" s="2" t="s">
        <v>2418</v>
      </c>
      <c r="D2065" s="2" t="s">
        <v>2417</v>
      </c>
      <c r="E2065" s="2" t="s">
        <v>101</v>
      </c>
      <c r="F2065" s="3">
        <v>43205</v>
      </c>
      <c r="G2065" s="2" t="str">
        <f>"9780810136878"</f>
        <v>9780810136878</v>
      </c>
      <c r="H2065" s="2" t="s">
        <v>14</v>
      </c>
      <c r="I2065" s="4">
        <v>43886.574305555558</v>
      </c>
      <c r="J2065" s="2" t="s">
        <v>2419</v>
      </c>
    </row>
    <row r="2066" spans="1:10" ht="135" x14ac:dyDescent="0.25">
      <c r="A2066" s="2" t="s">
        <v>122</v>
      </c>
      <c r="B2066" s="2" t="s">
        <v>11948</v>
      </c>
      <c r="C2066" s="2" t="s">
        <v>11949</v>
      </c>
      <c r="D2066" s="2" t="s">
        <v>11947</v>
      </c>
      <c r="E2066" s="2" t="s">
        <v>216</v>
      </c>
      <c r="F2066" s="3">
        <v>41974</v>
      </c>
      <c r="G2066" s="2" t="str">
        <f>"9781438454276"</f>
        <v>9781438454276</v>
      </c>
      <c r="H2066" s="2" t="s">
        <v>14</v>
      </c>
      <c r="I2066" s="4">
        <v>42868.575694444444</v>
      </c>
      <c r="J2066" s="2" t="s">
        <v>11950</v>
      </c>
    </row>
    <row r="2067" spans="1:10" ht="135" x14ac:dyDescent="0.25">
      <c r="A2067" s="2" t="s">
        <v>122</v>
      </c>
      <c r="B2067" s="2">
        <v>810.99287089916197</v>
      </c>
      <c r="C2067" s="2" t="s">
        <v>8541</v>
      </c>
      <c r="D2067" s="2" t="s">
        <v>8540</v>
      </c>
      <c r="E2067" s="2" t="s">
        <v>310</v>
      </c>
      <c r="F2067" s="3">
        <v>41569</v>
      </c>
      <c r="G2067" s="2" t="str">
        <f>"9780815652403"</f>
        <v>9780815652403</v>
      </c>
      <c r="H2067" s="2" t="s">
        <v>14</v>
      </c>
      <c r="I2067" s="4">
        <v>43290.48333333333</v>
      </c>
      <c r="J2067" s="2" t="s">
        <v>8542</v>
      </c>
    </row>
    <row r="2068" spans="1:10" ht="135" x14ac:dyDescent="0.25">
      <c r="A2068" s="2" t="s">
        <v>122</v>
      </c>
      <c r="B2068" s="2">
        <v>810.99729000000002</v>
      </c>
      <c r="C2068" s="2" t="s">
        <v>619</v>
      </c>
      <c r="D2068" s="2" t="s">
        <v>1161</v>
      </c>
      <c r="E2068" s="2" t="s">
        <v>37</v>
      </c>
      <c r="F2068" s="3">
        <v>42709</v>
      </c>
      <c r="G2068" s="2" t="str">
        <f>"9783319321189"</f>
        <v>9783319321189</v>
      </c>
      <c r="H2068" s="2" t="s">
        <v>14</v>
      </c>
      <c r="I2068" s="4">
        <v>43958.620833333334</v>
      </c>
      <c r="J2068" s="2" t="s">
        <v>1162</v>
      </c>
    </row>
    <row r="2069" spans="1:10" ht="135" x14ac:dyDescent="0.25">
      <c r="A2069" s="2" t="s">
        <v>122</v>
      </c>
      <c r="B2069" s="2" t="s">
        <v>3072</v>
      </c>
      <c r="C2069" s="2" t="s">
        <v>3073</v>
      </c>
      <c r="D2069" s="2" t="s">
        <v>3071</v>
      </c>
      <c r="E2069" s="2" t="s">
        <v>54</v>
      </c>
      <c r="F2069" s="3">
        <v>43676</v>
      </c>
      <c r="G2069" s="2" t="str">
        <f>"9781503609730"</f>
        <v>9781503609730</v>
      </c>
      <c r="H2069" s="2" t="s">
        <v>14</v>
      </c>
      <c r="I2069" s="4">
        <v>43817.705555555556</v>
      </c>
      <c r="J2069" s="2" t="s">
        <v>3074</v>
      </c>
    </row>
    <row r="2070" spans="1:10" ht="135" x14ac:dyDescent="0.25">
      <c r="A2070" s="2" t="s">
        <v>122</v>
      </c>
      <c r="B2070" s="2" t="s">
        <v>3686</v>
      </c>
      <c r="C2070" s="2" t="s">
        <v>3687</v>
      </c>
      <c r="D2070" s="2" t="s">
        <v>3685</v>
      </c>
      <c r="E2070" s="2" t="s">
        <v>2846</v>
      </c>
      <c r="F2070" s="3">
        <v>43739</v>
      </c>
      <c r="G2070" s="2" t="str">
        <f>"9781949199048"</f>
        <v>9781949199048</v>
      </c>
      <c r="H2070" s="2" t="s">
        <v>14</v>
      </c>
      <c r="I2070" s="4">
        <v>43766.697916666664</v>
      </c>
      <c r="J2070" s="2" t="s">
        <v>3688</v>
      </c>
    </row>
    <row r="2071" spans="1:10" ht="135" x14ac:dyDescent="0.25">
      <c r="A2071" s="2" t="s">
        <v>122</v>
      </c>
      <c r="B2071" s="2">
        <v>810.99206930000003</v>
      </c>
      <c r="C2071" s="2" t="s">
        <v>5586</v>
      </c>
      <c r="D2071" s="2" t="s">
        <v>5585</v>
      </c>
      <c r="E2071" s="2" t="s">
        <v>54</v>
      </c>
      <c r="F2071" s="3">
        <v>43480</v>
      </c>
      <c r="G2071" s="2" t="str">
        <f>"9781503607781"</f>
        <v>9781503607781</v>
      </c>
      <c r="H2071" s="2" t="s">
        <v>14</v>
      </c>
      <c r="I2071" s="4">
        <v>43586.776388888888</v>
      </c>
      <c r="J2071" s="2" t="s">
        <v>5587</v>
      </c>
    </row>
    <row r="2072" spans="1:10" ht="135" x14ac:dyDescent="0.25">
      <c r="A2072" s="2" t="s">
        <v>122</v>
      </c>
      <c r="B2072" s="2">
        <v>827.40935204000004</v>
      </c>
      <c r="C2072" s="2" t="s">
        <v>12733</v>
      </c>
      <c r="D2072" s="2" t="s">
        <v>12732</v>
      </c>
      <c r="E2072" s="2" t="s">
        <v>4660</v>
      </c>
      <c r="F2072" s="3">
        <v>41827</v>
      </c>
      <c r="G2072" s="2" t="str">
        <f>"9780813164076"</f>
        <v>9780813164076</v>
      </c>
      <c r="H2072" s="2" t="s">
        <v>14</v>
      </c>
      <c r="I2072" s="4">
        <v>42779.468055555553</v>
      </c>
      <c r="J2072" s="2" t="s">
        <v>12734</v>
      </c>
    </row>
    <row r="2073" spans="1:10" ht="150" x14ac:dyDescent="0.25">
      <c r="A2073" s="2" t="s">
        <v>122</v>
      </c>
      <c r="B2073" s="2">
        <v>820.93820000000005</v>
      </c>
      <c r="C2073" s="2" t="s">
        <v>9851</v>
      </c>
      <c r="D2073" s="2" t="s">
        <v>9850</v>
      </c>
      <c r="E2073" s="2" t="s">
        <v>80</v>
      </c>
      <c r="F2073" s="3">
        <v>41857</v>
      </c>
      <c r="G2073" s="2" t="str">
        <f>"9783653033212"</f>
        <v>9783653033212</v>
      </c>
      <c r="H2073" s="2" t="s">
        <v>14</v>
      </c>
      <c r="I2073" s="4">
        <v>43124.755555555559</v>
      </c>
      <c r="J2073" s="2" t="s">
        <v>9852</v>
      </c>
    </row>
    <row r="2074" spans="1:10" ht="180" x14ac:dyDescent="0.25">
      <c r="A2074" s="2" t="s">
        <v>122</v>
      </c>
      <c r="B2074" s="2">
        <v>811.52</v>
      </c>
      <c r="C2074" s="2" t="s">
        <v>5743</v>
      </c>
      <c r="D2074" s="2" t="s">
        <v>5942</v>
      </c>
      <c r="E2074" s="2" t="s">
        <v>54</v>
      </c>
      <c r="F2074" s="3">
        <v>42200</v>
      </c>
      <c r="G2074" s="2" t="str">
        <f>"9780804794770"</f>
        <v>9780804794770</v>
      </c>
      <c r="H2074" s="2" t="s">
        <v>14</v>
      </c>
      <c r="I2074" s="4">
        <v>43555.582638888889</v>
      </c>
      <c r="J2074" s="2" t="s">
        <v>5943</v>
      </c>
    </row>
    <row r="2075" spans="1:10" ht="180" x14ac:dyDescent="0.25">
      <c r="A2075" s="2" t="s">
        <v>122</v>
      </c>
      <c r="B2075" s="2" t="s">
        <v>5742</v>
      </c>
      <c r="C2075" s="2" t="s">
        <v>5743</v>
      </c>
      <c r="D2075" s="2" t="s">
        <v>5741</v>
      </c>
      <c r="E2075" s="2" t="s">
        <v>54</v>
      </c>
      <c r="F2075" s="3">
        <v>40828</v>
      </c>
      <c r="G2075" s="2" t="str">
        <f>"9780804781725"</f>
        <v>9780804781725</v>
      </c>
      <c r="H2075" s="2" t="s">
        <v>14</v>
      </c>
      <c r="I2075" s="4">
        <v>43577.386111111111</v>
      </c>
      <c r="J2075" s="2" t="s">
        <v>5744</v>
      </c>
    </row>
    <row r="2076" spans="1:10" ht="135" x14ac:dyDescent="0.25">
      <c r="A2076" s="2" t="s">
        <v>122</v>
      </c>
      <c r="B2076" s="2">
        <v>841.91399999999999</v>
      </c>
      <c r="C2076" s="2" t="s">
        <v>10280</v>
      </c>
      <c r="D2076" s="2" t="s">
        <v>10279</v>
      </c>
      <c r="E2076" s="2" t="s">
        <v>109</v>
      </c>
      <c r="F2076" s="3">
        <v>42983</v>
      </c>
      <c r="G2076" s="2" t="str">
        <f>"9780819577511"</f>
        <v>9780819577511</v>
      </c>
      <c r="H2076" s="2" t="s">
        <v>14</v>
      </c>
      <c r="I2076" s="4">
        <v>43074.486805555556</v>
      </c>
      <c r="J2076" s="2" t="s">
        <v>10281</v>
      </c>
    </row>
    <row r="2077" spans="1:10" ht="135" x14ac:dyDescent="0.25">
      <c r="A2077" s="2" t="s">
        <v>122</v>
      </c>
      <c r="B2077" s="2">
        <v>821.17093599999998</v>
      </c>
      <c r="C2077" s="2" t="s">
        <v>565</v>
      </c>
      <c r="D2077" s="2" t="s">
        <v>564</v>
      </c>
      <c r="E2077" s="2" t="s">
        <v>54</v>
      </c>
      <c r="F2077" s="3">
        <v>43809</v>
      </c>
      <c r="G2077" s="2" t="str">
        <f>"9781503610736"</f>
        <v>9781503610736</v>
      </c>
      <c r="H2077" s="2" t="s">
        <v>14</v>
      </c>
      <c r="I2077" s="4">
        <v>44013.543055555558</v>
      </c>
      <c r="J2077" s="2" t="s">
        <v>566</v>
      </c>
    </row>
    <row r="2078" spans="1:10" ht="135" x14ac:dyDescent="0.25">
      <c r="A2078" s="2" t="s">
        <v>122</v>
      </c>
      <c r="B2078" s="2" t="s">
        <v>12560</v>
      </c>
      <c r="C2078" s="2" t="s">
        <v>12561</v>
      </c>
      <c r="D2078" s="2" t="s">
        <v>12559</v>
      </c>
      <c r="E2078" s="2" t="s">
        <v>4660</v>
      </c>
      <c r="F2078" s="3">
        <v>33241</v>
      </c>
      <c r="G2078" s="2" t="str">
        <f>"9780813149660"</f>
        <v>9780813149660</v>
      </c>
      <c r="H2078" s="2" t="s">
        <v>14</v>
      </c>
      <c r="I2078" s="4">
        <v>42795.587500000001</v>
      </c>
      <c r="J2078" s="2" t="s">
        <v>12562</v>
      </c>
    </row>
    <row r="2079" spans="1:10" ht="135" x14ac:dyDescent="0.25">
      <c r="A2079" s="2" t="s">
        <v>122</v>
      </c>
      <c r="B2079" s="2" t="s">
        <v>6938</v>
      </c>
      <c r="C2079" s="2" t="s">
        <v>6939</v>
      </c>
      <c r="D2079" s="2" t="s">
        <v>6937</v>
      </c>
      <c r="E2079" s="2" t="s">
        <v>310</v>
      </c>
      <c r="F2079" s="3">
        <v>42164</v>
      </c>
      <c r="G2079" s="2" t="str">
        <f>"9780815653103"</f>
        <v>9780815653103</v>
      </c>
      <c r="H2079" s="2" t="s">
        <v>14</v>
      </c>
      <c r="I2079" s="4">
        <v>43474.030555555553</v>
      </c>
      <c r="J2079" s="2" t="s">
        <v>6940</v>
      </c>
    </row>
    <row r="2080" spans="1:10" ht="135" x14ac:dyDescent="0.25">
      <c r="A2080" s="2" t="s">
        <v>122</v>
      </c>
      <c r="B2080" s="2">
        <v>808.3</v>
      </c>
      <c r="C2080" s="2" t="s">
        <v>2185</v>
      </c>
      <c r="D2080" s="2" t="s">
        <v>2184</v>
      </c>
      <c r="E2080" s="2" t="s">
        <v>50</v>
      </c>
      <c r="F2080" s="3">
        <v>42887</v>
      </c>
      <c r="G2080" s="2" t="str">
        <f>"9781496201645"</f>
        <v>9781496201645</v>
      </c>
      <c r="H2080" s="2" t="s">
        <v>14</v>
      </c>
      <c r="I2080" s="4">
        <v>43903.787499999999</v>
      </c>
      <c r="J2080" s="2" t="s">
        <v>2186</v>
      </c>
    </row>
    <row r="2081" spans="1:10" ht="135" x14ac:dyDescent="0.25">
      <c r="A2081" s="2" t="s">
        <v>122</v>
      </c>
      <c r="B2081" s="2">
        <v>895.18420900000001</v>
      </c>
      <c r="C2081" s="2" t="s">
        <v>8678</v>
      </c>
      <c r="D2081" s="2" t="s">
        <v>8677</v>
      </c>
      <c r="E2081" s="2" t="s">
        <v>856</v>
      </c>
      <c r="F2081" s="3">
        <v>42185</v>
      </c>
      <c r="G2081" s="2" t="str">
        <f>"9780295806044"</f>
        <v>9780295806044</v>
      </c>
      <c r="H2081" s="2" t="s">
        <v>14</v>
      </c>
      <c r="I2081" s="4">
        <v>43270.445138888892</v>
      </c>
      <c r="J2081" s="2" t="s">
        <v>8679</v>
      </c>
    </row>
    <row r="2082" spans="1:10" ht="135" x14ac:dyDescent="0.25">
      <c r="A2082" s="2" t="s">
        <v>122</v>
      </c>
      <c r="B2082" s="2" t="s">
        <v>12648</v>
      </c>
      <c r="C2082" s="2" t="s">
        <v>12504</v>
      </c>
      <c r="D2082" s="2" t="s">
        <v>12647</v>
      </c>
      <c r="E2082" s="2" t="s">
        <v>41</v>
      </c>
      <c r="F2082" s="3">
        <v>42292</v>
      </c>
      <c r="G2082" s="2" t="str">
        <f>"9780817388539"</f>
        <v>9780817388539</v>
      </c>
      <c r="H2082" s="2" t="s">
        <v>14</v>
      </c>
      <c r="I2082" s="4">
        <v>42786.688888888886</v>
      </c>
      <c r="J2082" s="2" t="s">
        <v>12649</v>
      </c>
    </row>
    <row r="2083" spans="1:10" ht="135" x14ac:dyDescent="0.25">
      <c r="A2083" s="2" t="s">
        <v>122</v>
      </c>
      <c r="B2083" s="2">
        <v>895.10900500000002</v>
      </c>
      <c r="C2083" s="2" t="s">
        <v>8748</v>
      </c>
      <c r="D2083" s="2" t="s">
        <v>8747</v>
      </c>
      <c r="E2083" s="2" t="s">
        <v>856</v>
      </c>
      <c r="F2083" s="3">
        <v>42675</v>
      </c>
      <c r="G2083" s="2" t="str">
        <f>"9780295999005"</f>
        <v>9780295999005</v>
      </c>
      <c r="H2083" s="2" t="s">
        <v>14</v>
      </c>
      <c r="I2083" s="4">
        <v>43258.470833333333</v>
      </c>
      <c r="J2083" s="2" t="s">
        <v>8749</v>
      </c>
    </row>
    <row r="2084" spans="1:10" ht="135" x14ac:dyDescent="0.25">
      <c r="A2084" s="2" t="s">
        <v>122</v>
      </c>
      <c r="B2084" s="2">
        <v>820.93584999999996</v>
      </c>
      <c r="C2084" s="2" t="s">
        <v>619</v>
      </c>
      <c r="D2084" s="2" t="s">
        <v>1842</v>
      </c>
      <c r="E2084" s="2" t="s">
        <v>618</v>
      </c>
      <c r="F2084" s="3">
        <v>40282</v>
      </c>
      <c r="G2084" s="2" t="str">
        <f>"9780230106222"</f>
        <v>9780230106222</v>
      </c>
      <c r="H2084" s="2" t="s">
        <v>14</v>
      </c>
      <c r="I2084" s="4">
        <v>43924.618055555555</v>
      </c>
      <c r="J2084" s="2" t="s">
        <v>1843</v>
      </c>
    </row>
    <row r="2085" spans="1:10" ht="135" x14ac:dyDescent="0.25">
      <c r="A2085" s="2" t="s">
        <v>122</v>
      </c>
      <c r="B2085" s="2">
        <v>871.04</v>
      </c>
      <c r="C2085" s="2" t="s">
        <v>10600</v>
      </c>
      <c r="D2085" s="2" t="s">
        <v>10599</v>
      </c>
      <c r="E2085" s="2" t="s">
        <v>846</v>
      </c>
      <c r="F2085" s="3">
        <v>42556</v>
      </c>
      <c r="G2085" s="2" t="str">
        <f>"9781442625549"</f>
        <v>9781442625549</v>
      </c>
      <c r="H2085" s="2" t="s">
        <v>14</v>
      </c>
      <c r="I2085" s="4">
        <v>43047.82916666667</v>
      </c>
      <c r="J2085" s="2" t="s">
        <v>10601</v>
      </c>
    </row>
    <row r="2086" spans="1:10" ht="135" x14ac:dyDescent="0.25">
      <c r="A2086" s="2" t="s">
        <v>122</v>
      </c>
      <c r="B2086" s="2">
        <v>809.02</v>
      </c>
      <c r="C2086" s="2" t="s">
        <v>619</v>
      </c>
      <c r="D2086" s="2" t="s">
        <v>617</v>
      </c>
      <c r="E2086" s="2" t="s">
        <v>618</v>
      </c>
      <c r="F2086" s="3">
        <v>39587</v>
      </c>
      <c r="G2086" s="2" t="str">
        <f>"9781137097415"</f>
        <v>9781137097415</v>
      </c>
      <c r="H2086" s="2" t="s">
        <v>14</v>
      </c>
      <c r="I2086" s="4">
        <v>44006.713194444441</v>
      </c>
      <c r="J2086" s="2" t="s">
        <v>620</v>
      </c>
    </row>
    <row r="2087" spans="1:10" ht="135" x14ac:dyDescent="0.25">
      <c r="A2087" s="2" t="s">
        <v>122</v>
      </c>
      <c r="B2087" s="2">
        <v>813.3</v>
      </c>
      <c r="C2087" s="2" t="s">
        <v>10376</v>
      </c>
      <c r="D2087" s="2" t="s">
        <v>10375</v>
      </c>
      <c r="E2087" s="2" t="s">
        <v>235</v>
      </c>
      <c r="F2087" s="3">
        <v>42457</v>
      </c>
      <c r="G2087" s="2" t="str">
        <f>"9781440850080"</f>
        <v>9781440850080</v>
      </c>
      <c r="H2087" s="2" t="s">
        <v>14</v>
      </c>
      <c r="I2087" s="4">
        <v>43063.503472222219</v>
      </c>
      <c r="J2087" s="2" t="s">
        <v>10377</v>
      </c>
    </row>
    <row r="2088" spans="1:10" ht="135" x14ac:dyDescent="0.25">
      <c r="A2088" s="2" t="s">
        <v>122</v>
      </c>
      <c r="B2088" s="2">
        <v>822.00900000000001</v>
      </c>
      <c r="C2088" s="2" t="s">
        <v>10392</v>
      </c>
      <c r="D2088" s="2" t="s">
        <v>10391</v>
      </c>
      <c r="E2088" s="2" t="s">
        <v>11</v>
      </c>
      <c r="F2088" s="3">
        <v>40301</v>
      </c>
      <c r="G2088" s="2" t="str">
        <f>"9780813218113"</f>
        <v>9780813218113</v>
      </c>
      <c r="H2088" s="2" t="s">
        <v>14</v>
      </c>
      <c r="I2088" s="4">
        <v>43061.040277777778</v>
      </c>
      <c r="J2088" s="2" t="s">
        <v>10393</v>
      </c>
    </row>
    <row r="2089" spans="1:10" ht="135" x14ac:dyDescent="0.25">
      <c r="A2089" s="2" t="s">
        <v>122</v>
      </c>
      <c r="B2089" s="2">
        <v>823.6</v>
      </c>
      <c r="C2089" s="2" t="s">
        <v>12990</v>
      </c>
      <c r="D2089" s="2" t="s">
        <v>12989</v>
      </c>
      <c r="E2089" s="2" t="s">
        <v>4660</v>
      </c>
      <c r="F2089" s="3">
        <v>35431</v>
      </c>
      <c r="G2089" s="2" t="str">
        <f>"9780813157962"</f>
        <v>9780813157962</v>
      </c>
      <c r="H2089" s="2" t="s">
        <v>14</v>
      </c>
      <c r="I2089" s="4">
        <v>42747.79583333333</v>
      </c>
      <c r="J2089" s="2" t="s">
        <v>12991</v>
      </c>
    </row>
    <row r="2090" spans="1:10" ht="165" x14ac:dyDescent="0.25">
      <c r="A2090" s="2" t="s">
        <v>122</v>
      </c>
      <c r="B2090" s="2">
        <v>820.93600000000004</v>
      </c>
      <c r="C2090" s="2" t="s">
        <v>8225</v>
      </c>
      <c r="D2090" s="2" t="s">
        <v>8224</v>
      </c>
      <c r="E2090" s="2" t="s">
        <v>54</v>
      </c>
      <c r="F2090" s="3">
        <v>43256</v>
      </c>
      <c r="G2090" s="2" t="str">
        <f>"9781503606456"</f>
        <v>9781503606456</v>
      </c>
      <c r="H2090" s="2" t="s">
        <v>14</v>
      </c>
      <c r="I2090" s="4">
        <v>43334.945138888892</v>
      </c>
      <c r="J2090" s="2" t="s">
        <v>8226</v>
      </c>
    </row>
    <row r="2091" spans="1:10" ht="150" x14ac:dyDescent="0.25">
      <c r="A2091" s="2" t="s">
        <v>122</v>
      </c>
      <c r="B2091" s="2">
        <v>808.02</v>
      </c>
      <c r="C2091" s="2" t="s">
        <v>5240</v>
      </c>
      <c r="D2091" s="2" t="s">
        <v>5239</v>
      </c>
      <c r="E2091" s="2" t="s">
        <v>121</v>
      </c>
      <c r="F2091" s="3">
        <v>41699</v>
      </c>
      <c r="G2091" s="2" t="str">
        <f>"9781609174118"</f>
        <v>9781609174118</v>
      </c>
      <c r="H2091" s="2" t="s">
        <v>14</v>
      </c>
      <c r="I2091" s="4">
        <v>43607.333333333336</v>
      </c>
      <c r="J2091" s="2" t="s">
        <v>5241</v>
      </c>
    </row>
    <row r="2092" spans="1:10" ht="135" x14ac:dyDescent="0.25">
      <c r="A2092" s="2" t="s">
        <v>122</v>
      </c>
      <c r="B2092" s="2">
        <v>811.2</v>
      </c>
      <c r="C2092" s="2" t="s">
        <v>319</v>
      </c>
      <c r="D2092" s="2" t="s">
        <v>318</v>
      </c>
      <c r="E2092" s="2" t="s">
        <v>28</v>
      </c>
      <c r="F2092" s="3">
        <v>43733</v>
      </c>
      <c r="G2092" s="2" t="str">
        <f>"9780813942940"</f>
        <v>9780813942940</v>
      </c>
      <c r="H2092" s="2" t="s">
        <v>14</v>
      </c>
      <c r="I2092" s="4">
        <v>44040.604861111111</v>
      </c>
      <c r="J2092" s="2" t="s">
        <v>320</v>
      </c>
    </row>
    <row r="2093" spans="1:10" ht="135" x14ac:dyDescent="0.25">
      <c r="A2093" s="2" t="s">
        <v>122</v>
      </c>
      <c r="B2093" s="2" t="s">
        <v>4301</v>
      </c>
      <c r="C2093" s="2" t="s">
        <v>8201</v>
      </c>
      <c r="D2093" s="2" t="s">
        <v>8200</v>
      </c>
      <c r="E2093" s="2" t="s">
        <v>54</v>
      </c>
      <c r="F2093" s="3">
        <v>42815</v>
      </c>
      <c r="G2093" s="2" t="str">
        <f>"9781503601659"</f>
        <v>9781503601659</v>
      </c>
      <c r="H2093" s="2" t="s">
        <v>14</v>
      </c>
      <c r="I2093" s="4">
        <v>43342.465277777781</v>
      </c>
      <c r="J2093" s="2" t="s">
        <v>8202</v>
      </c>
    </row>
    <row r="2094" spans="1:10" ht="135" x14ac:dyDescent="0.25">
      <c r="A2094" s="2" t="s">
        <v>122</v>
      </c>
      <c r="B2094" s="2" t="s">
        <v>1117</v>
      </c>
      <c r="C2094" s="2" t="s">
        <v>1118</v>
      </c>
      <c r="D2094" s="2" t="s">
        <v>1116</v>
      </c>
      <c r="E2094" s="2" t="s">
        <v>69</v>
      </c>
      <c r="F2094" s="3">
        <v>43347</v>
      </c>
      <c r="G2094" s="2" t="str">
        <f>"9780253038357"</f>
        <v>9780253038357</v>
      </c>
      <c r="H2094" s="2" t="s">
        <v>14</v>
      </c>
      <c r="I2094" s="4">
        <v>43962.445138888892</v>
      </c>
      <c r="J2094" s="2" t="s">
        <v>1119</v>
      </c>
    </row>
    <row r="2095" spans="1:10" ht="135" x14ac:dyDescent="0.25">
      <c r="A2095" s="2" t="s">
        <v>122</v>
      </c>
      <c r="B2095" s="2" t="s">
        <v>12205</v>
      </c>
      <c r="C2095" s="2" t="s">
        <v>12206</v>
      </c>
      <c r="D2095" s="2" t="s">
        <v>12204</v>
      </c>
      <c r="E2095" s="2" t="s">
        <v>54</v>
      </c>
      <c r="F2095" s="3">
        <v>42347</v>
      </c>
      <c r="G2095" s="2" t="str">
        <f>"9780804797214"</f>
        <v>9780804797214</v>
      </c>
      <c r="H2095" s="2" t="s">
        <v>14</v>
      </c>
      <c r="I2095" s="4">
        <v>42836.333333333336</v>
      </c>
      <c r="J2095" s="2" t="s">
        <v>12207</v>
      </c>
    </row>
    <row r="2096" spans="1:10" ht="135" x14ac:dyDescent="0.25">
      <c r="A2096" s="2" t="s">
        <v>122</v>
      </c>
      <c r="B2096" s="2">
        <v>809.93358000000001</v>
      </c>
      <c r="C2096" s="2" t="s">
        <v>4185</v>
      </c>
      <c r="D2096" s="2" t="s">
        <v>4184</v>
      </c>
      <c r="E2096" s="2" t="s">
        <v>23</v>
      </c>
      <c r="F2096" s="3">
        <v>43059</v>
      </c>
      <c r="G2096" s="2" t="str">
        <f>"9780814343869"</f>
        <v>9780814343869</v>
      </c>
      <c r="H2096" s="2" t="s">
        <v>14</v>
      </c>
      <c r="I2096" s="4">
        <v>43698.431250000001</v>
      </c>
      <c r="J2096" s="2" t="s">
        <v>4186</v>
      </c>
    </row>
    <row r="2097" spans="1:10" ht="135" x14ac:dyDescent="0.25">
      <c r="A2097" s="2" t="s">
        <v>122</v>
      </c>
      <c r="B2097" s="2" t="s">
        <v>908</v>
      </c>
      <c r="C2097" s="2" t="s">
        <v>909</v>
      </c>
      <c r="D2097" s="2" t="s">
        <v>906</v>
      </c>
      <c r="E2097" s="2" t="s">
        <v>907</v>
      </c>
      <c r="F2097" s="3">
        <v>42850</v>
      </c>
      <c r="G2097" s="2" t="str">
        <f>"9780997722918"</f>
        <v>9780997722918</v>
      </c>
      <c r="H2097" s="2" t="s">
        <v>14</v>
      </c>
      <c r="I2097" s="4">
        <v>43976.462500000001</v>
      </c>
      <c r="J2097" s="2" t="s">
        <v>910</v>
      </c>
    </row>
    <row r="2098" spans="1:10" ht="165" x14ac:dyDescent="0.25">
      <c r="A2098" s="2" t="s">
        <v>122</v>
      </c>
      <c r="B2098" s="2" t="s">
        <v>4157</v>
      </c>
      <c r="C2098" s="2" t="s">
        <v>4158</v>
      </c>
      <c r="D2098" s="2" t="s">
        <v>4156</v>
      </c>
      <c r="E2098" s="2" t="s">
        <v>235</v>
      </c>
      <c r="F2098" s="3">
        <v>42485</v>
      </c>
      <c r="G2098" s="2" t="str">
        <f>"9781440833496"</f>
        <v>9781440833496</v>
      </c>
      <c r="H2098" s="2" t="s">
        <v>14</v>
      </c>
      <c r="I2098" s="4">
        <v>43704.767361111109</v>
      </c>
      <c r="J2098" s="2" t="s">
        <v>4159</v>
      </c>
    </row>
    <row r="2099" spans="1:10" ht="135" x14ac:dyDescent="0.25">
      <c r="A2099" s="2" t="s">
        <v>122</v>
      </c>
      <c r="B2099" s="2" t="s">
        <v>4254</v>
      </c>
      <c r="C2099" s="2" t="s">
        <v>4255</v>
      </c>
      <c r="D2099" s="2" t="s">
        <v>4253</v>
      </c>
      <c r="E2099" s="2" t="s">
        <v>216</v>
      </c>
      <c r="F2099" s="3">
        <v>43313</v>
      </c>
      <c r="G2099" s="2" t="str">
        <f>"9781438470689"</f>
        <v>9781438470689</v>
      </c>
      <c r="H2099" s="2" t="s">
        <v>14</v>
      </c>
      <c r="I2099" s="4">
        <v>43689.50277777778</v>
      </c>
      <c r="J2099" s="2" t="s">
        <v>4256</v>
      </c>
    </row>
    <row r="2100" spans="1:10" ht="135" x14ac:dyDescent="0.25">
      <c r="A2100" s="2" t="s">
        <v>122</v>
      </c>
      <c r="B2100" s="2">
        <v>820.90030000000002</v>
      </c>
      <c r="C2100" s="2" t="s">
        <v>619</v>
      </c>
      <c r="D2100" s="2" t="s">
        <v>2074</v>
      </c>
      <c r="E2100" s="2" t="s">
        <v>17</v>
      </c>
      <c r="F2100" s="3">
        <v>39597</v>
      </c>
      <c r="G2100" s="2" t="str">
        <f>"9780230582132"</f>
        <v>9780230582132</v>
      </c>
      <c r="H2100" s="2" t="s">
        <v>14</v>
      </c>
      <c r="I2100" s="4">
        <v>43915.475694444445</v>
      </c>
      <c r="J2100" s="2" t="s">
        <v>2075</v>
      </c>
    </row>
    <row r="2101" spans="1:10" ht="165" x14ac:dyDescent="0.25">
      <c r="A2101" s="2" t="s">
        <v>122</v>
      </c>
      <c r="B2101" s="2" t="s">
        <v>6328</v>
      </c>
      <c r="C2101" s="2" t="s">
        <v>6329</v>
      </c>
      <c r="D2101" s="2" t="s">
        <v>6327</v>
      </c>
      <c r="E2101" s="2" t="s">
        <v>585</v>
      </c>
      <c r="F2101" s="3">
        <v>42899</v>
      </c>
      <c r="G2101" s="2" t="str">
        <f>"9780226457017"</f>
        <v>9780226457017</v>
      </c>
      <c r="H2101" s="2" t="s">
        <v>14</v>
      </c>
      <c r="I2101" s="4">
        <v>43525.441666666666</v>
      </c>
      <c r="J2101" s="2" t="s">
        <v>6330</v>
      </c>
    </row>
    <row r="2102" spans="1:10" ht="165" x14ac:dyDescent="0.25">
      <c r="A2102" s="2" t="s">
        <v>122</v>
      </c>
      <c r="B2102" s="2">
        <v>810.99206643000002</v>
      </c>
      <c r="C2102" s="2" t="s">
        <v>6206</v>
      </c>
      <c r="D2102" s="2" t="s">
        <v>6205</v>
      </c>
      <c r="E2102" s="2" t="s">
        <v>156</v>
      </c>
      <c r="F2102" s="3">
        <v>43388</v>
      </c>
      <c r="G2102" s="2" t="str">
        <f>"9781469643373"</f>
        <v>9781469643373</v>
      </c>
      <c r="H2102" s="2" t="s">
        <v>14</v>
      </c>
      <c r="I2102" s="4">
        <v>43532.6</v>
      </c>
      <c r="J2102" s="2" t="s">
        <v>6207</v>
      </c>
    </row>
    <row r="2103" spans="1:10" ht="135" x14ac:dyDescent="0.25">
      <c r="A2103" s="2" t="s">
        <v>122</v>
      </c>
      <c r="B2103" s="2">
        <v>892.71339999999998</v>
      </c>
      <c r="C2103" s="2" t="s">
        <v>8684</v>
      </c>
      <c r="D2103" s="2" t="s">
        <v>8683</v>
      </c>
      <c r="E2103" s="2" t="s">
        <v>180</v>
      </c>
      <c r="F2103" s="3">
        <v>42339</v>
      </c>
      <c r="G2103" s="2" t="str">
        <f>"9780814760031"</f>
        <v>9780814760031</v>
      </c>
      <c r="H2103" s="2" t="s">
        <v>14</v>
      </c>
      <c r="I2103" s="4">
        <v>43267.37777777778</v>
      </c>
      <c r="J2103" s="2" t="s">
        <v>8685</v>
      </c>
    </row>
    <row r="2104" spans="1:10" ht="150" x14ac:dyDescent="0.25">
      <c r="A2104" s="2" t="s">
        <v>122</v>
      </c>
      <c r="B2104" s="2">
        <v>821.2</v>
      </c>
      <c r="C2104" s="2" t="s">
        <v>3259</v>
      </c>
      <c r="D2104" s="2" t="s">
        <v>3258</v>
      </c>
      <c r="E2104" s="2" t="s">
        <v>54</v>
      </c>
      <c r="F2104" s="3">
        <v>43704</v>
      </c>
      <c r="G2104" s="2" t="str">
        <f>"9781503609297"</f>
        <v>9781503609297</v>
      </c>
      <c r="H2104" s="2" t="s">
        <v>14</v>
      </c>
      <c r="I2104" s="4">
        <v>43795.48541666667</v>
      </c>
      <c r="J2104" s="2" t="s">
        <v>3260</v>
      </c>
    </row>
    <row r="2105" spans="1:10" ht="135" x14ac:dyDescent="0.25">
      <c r="A2105" s="2" t="s">
        <v>122</v>
      </c>
      <c r="B2105" s="2">
        <v>821.91200000000003</v>
      </c>
      <c r="C2105" s="2" t="s">
        <v>1033</v>
      </c>
      <c r="D2105" s="2" t="s">
        <v>1032</v>
      </c>
      <c r="E2105" s="2" t="s">
        <v>130</v>
      </c>
      <c r="F2105" s="3">
        <v>42899</v>
      </c>
      <c r="G2105" s="2" t="str">
        <f>"9780813052847"</f>
        <v>9780813052847</v>
      </c>
      <c r="H2105" s="2" t="s">
        <v>14</v>
      </c>
      <c r="I2105" s="4">
        <v>43968.647222222222</v>
      </c>
      <c r="J2105" s="2" t="s">
        <v>1034</v>
      </c>
    </row>
    <row r="2106" spans="1:10" ht="135" x14ac:dyDescent="0.25">
      <c r="A2106" s="2" t="s">
        <v>122</v>
      </c>
      <c r="B2106" s="2" t="s">
        <v>4254</v>
      </c>
      <c r="C2106" s="2" t="s">
        <v>4985</v>
      </c>
      <c r="D2106" s="2" t="s">
        <v>12145</v>
      </c>
      <c r="E2106" s="2" t="s">
        <v>54</v>
      </c>
      <c r="F2106" s="3">
        <v>42543</v>
      </c>
      <c r="G2106" s="2" t="str">
        <f>"9780804799621"</f>
        <v>9780804799621</v>
      </c>
      <c r="H2106" s="2" t="s">
        <v>14</v>
      </c>
      <c r="I2106" s="4">
        <v>42845.375</v>
      </c>
      <c r="J2106" s="2" t="s">
        <v>12146</v>
      </c>
    </row>
    <row r="2107" spans="1:10" ht="150" x14ac:dyDescent="0.25">
      <c r="A2107" s="2" t="s">
        <v>122</v>
      </c>
      <c r="B2107" s="2" t="s">
        <v>6846</v>
      </c>
      <c r="C2107" s="2" t="s">
        <v>6847</v>
      </c>
      <c r="D2107" s="2" t="s">
        <v>6845</v>
      </c>
      <c r="E2107" s="2" t="s">
        <v>156</v>
      </c>
      <c r="F2107" s="3">
        <v>41913</v>
      </c>
      <c r="G2107" s="2" t="str">
        <f>"9781469618463"</f>
        <v>9781469618463</v>
      </c>
      <c r="H2107" s="2" t="s">
        <v>14</v>
      </c>
      <c r="I2107" s="4">
        <v>43482.493750000001</v>
      </c>
      <c r="J2107" s="2" t="s">
        <v>6848</v>
      </c>
    </row>
    <row r="2108" spans="1:10" ht="135" x14ac:dyDescent="0.25">
      <c r="A2108" s="2" t="s">
        <v>122</v>
      </c>
      <c r="B2108" s="2" t="s">
        <v>8658</v>
      </c>
      <c r="C2108" s="2" t="s">
        <v>8659</v>
      </c>
      <c r="D2108" s="2" t="s">
        <v>8657</v>
      </c>
      <c r="E2108" s="2" t="s">
        <v>390</v>
      </c>
      <c r="F2108" s="3">
        <v>42109</v>
      </c>
      <c r="G2108" s="2" t="str">
        <f>"9780268074838"</f>
        <v>9780268074838</v>
      </c>
      <c r="H2108" s="2" t="s">
        <v>14</v>
      </c>
      <c r="I2108" s="4">
        <v>43274.986805555556</v>
      </c>
      <c r="J2108" s="2" t="s">
        <v>8660</v>
      </c>
    </row>
    <row r="2109" spans="1:10" ht="135" x14ac:dyDescent="0.25">
      <c r="A2109" s="2" t="s">
        <v>122</v>
      </c>
      <c r="B2109" s="2" t="s">
        <v>7804</v>
      </c>
      <c r="C2109" s="2" t="s">
        <v>7805</v>
      </c>
      <c r="D2109" s="2" t="s">
        <v>7803</v>
      </c>
      <c r="E2109" s="2" t="s">
        <v>46</v>
      </c>
      <c r="F2109" s="3">
        <v>43191</v>
      </c>
      <c r="G2109" s="2" t="str">
        <f>"9781496205605"</f>
        <v>9781496205605</v>
      </c>
      <c r="H2109" s="2" t="s">
        <v>14</v>
      </c>
      <c r="I2109" s="4">
        <v>43388.623611111114</v>
      </c>
      <c r="J2109" s="2" t="s">
        <v>7806</v>
      </c>
    </row>
    <row r="2110" spans="1:10" ht="150" x14ac:dyDescent="0.25">
      <c r="A2110" s="2" t="s">
        <v>122</v>
      </c>
      <c r="B2110" s="2">
        <v>860.99852499999997</v>
      </c>
      <c r="C2110" s="2" t="s">
        <v>7668</v>
      </c>
      <c r="D2110" s="2" t="s">
        <v>7667</v>
      </c>
      <c r="E2110" s="2" t="s">
        <v>2560</v>
      </c>
      <c r="F2110" s="3">
        <v>42934</v>
      </c>
      <c r="G2110" s="2" t="str">
        <f>"9780826521477"</f>
        <v>9780826521477</v>
      </c>
      <c r="H2110" s="2" t="s">
        <v>14</v>
      </c>
      <c r="I2110" s="4">
        <v>43400.917361111111</v>
      </c>
      <c r="J2110" s="2" t="s">
        <v>7669</v>
      </c>
    </row>
    <row r="2111" spans="1:10" ht="135" x14ac:dyDescent="0.25">
      <c r="A2111" s="2" t="s">
        <v>122</v>
      </c>
      <c r="B2111" s="2">
        <v>811.6</v>
      </c>
      <c r="C2111" s="2" t="s">
        <v>2958</v>
      </c>
      <c r="D2111" s="2" t="s">
        <v>2957</v>
      </c>
      <c r="E2111" s="2" t="s">
        <v>310</v>
      </c>
      <c r="F2111" s="3">
        <v>41423</v>
      </c>
      <c r="G2111" s="2" t="str">
        <f>"9780815650539"</f>
        <v>9780815650539</v>
      </c>
      <c r="H2111" s="2" t="s">
        <v>14</v>
      </c>
      <c r="I2111" s="4">
        <v>43838.650694444441</v>
      </c>
      <c r="J2111" s="2" t="s">
        <v>2959</v>
      </c>
    </row>
    <row r="2112" spans="1:10" ht="165" x14ac:dyDescent="0.25">
      <c r="A2112" s="2" t="s">
        <v>122</v>
      </c>
      <c r="B2112" s="2">
        <v>820.93550000000005</v>
      </c>
      <c r="C2112" s="2" t="s">
        <v>6143</v>
      </c>
      <c r="D2112" s="2" t="s">
        <v>6142</v>
      </c>
      <c r="E2112" s="2" t="s">
        <v>50</v>
      </c>
      <c r="F2112" s="3">
        <v>42795</v>
      </c>
      <c r="G2112" s="2" t="str">
        <f>"9781496200488"</f>
        <v>9781496200488</v>
      </c>
      <c r="H2112" s="2" t="s">
        <v>14</v>
      </c>
      <c r="I2112" s="4">
        <v>43536.570833333331</v>
      </c>
      <c r="J2112" s="2" t="s">
        <v>6144</v>
      </c>
    </row>
    <row r="2113" spans="1:10" ht="135" x14ac:dyDescent="0.25">
      <c r="A2113" s="2" t="s">
        <v>122</v>
      </c>
      <c r="B2113" s="2">
        <v>801.95899999999995</v>
      </c>
      <c r="C2113" s="2" t="s">
        <v>619</v>
      </c>
      <c r="D2113" s="2" t="s">
        <v>2096</v>
      </c>
      <c r="E2113" s="2" t="s">
        <v>37</v>
      </c>
      <c r="F2113" s="3">
        <v>43088</v>
      </c>
      <c r="G2113" s="2" t="str">
        <f>"9783319633039"</f>
        <v>9783319633039</v>
      </c>
      <c r="H2113" s="2" t="s">
        <v>14</v>
      </c>
      <c r="I2113" s="4">
        <v>43914.470833333333</v>
      </c>
      <c r="J2113" s="2" t="s">
        <v>2097</v>
      </c>
    </row>
    <row r="2114" spans="1:10" ht="135" x14ac:dyDescent="0.25">
      <c r="A2114" s="2" t="s">
        <v>122</v>
      </c>
      <c r="B2114" s="2">
        <v>830.90091399999994</v>
      </c>
      <c r="C2114" s="2" t="s">
        <v>425</v>
      </c>
      <c r="D2114" s="2" t="s">
        <v>424</v>
      </c>
      <c r="E2114" s="2" t="s">
        <v>216</v>
      </c>
      <c r="F2114" s="3">
        <v>43344</v>
      </c>
      <c r="G2114" s="2" t="str">
        <f>"9781438471655"</f>
        <v>9781438471655</v>
      </c>
      <c r="H2114" s="2" t="s">
        <v>14</v>
      </c>
      <c r="I2114" s="4">
        <v>44025.510416666664</v>
      </c>
      <c r="J2114" s="2" t="s">
        <v>426</v>
      </c>
    </row>
    <row r="2115" spans="1:10" ht="135" x14ac:dyDescent="0.25">
      <c r="A2115" s="2" t="s">
        <v>122</v>
      </c>
      <c r="B2115" s="2" t="s">
        <v>2633</v>
      </c>
      <c r="C2115" s="2" t="s">
        <v>8808</v>
      </c>
      <c r="D2115" s="2" t="s">
        <v>8807</v>
      </c>
      <c r="E2115" s="2" t="s">
        <v>50</v>
      </c>
      <c r="F2115" s="3">
        <v>42005</v>
      </c>
      <c r="G2115" s="2" t="str">
        <f>"9780803286337"</f>
        <v>9780803286337</v>
      </c>
      <c r="H2115" s="2" t="s">
        <v>14</v>
      </c>
      <c r="I2115" s="4">
        <v>43250.786805555559</v>
      </c>
      <c r="J2115" s="2" t="s">
        <v>8809</v>
      </c>
    </row>
    <row r="2116" spans="1:10" ht="135" x14ac:dyDescent="0.25">
      <c r="A2116" s="2" t="s">
        <v>122</v>
      </c>
      <c r="B2116" s="2">
        <v>811.00935600000003</v>
      </c>
      <c r="C2116" s="2" t="s">
        <v>2587</v>
      </c>
      <c r="D2116" s="2" t="s">
        <v>2586</v>
      </c>
      <c r="E2116" s="2" t="s">
        <v>73</v>
      </c>
      <c r="F2116" s="3">
        <v>43452</v>
      </c>
      <c r="G2116" s="2" t="str">
        <f>"9781452958668"</f>
        <v>9781452958668</v>
      </c>
      <c r="H2116" s="2" t="s">
        <v>14</v>
      </c>
      <c r="I2116" s="4">
        <v>43874.381944444445</v>
      </c>
      <c r="J2116" s="2" t="s">
        <v>2588</v>
      </c>
    </row>
    <row r="2117" spans="1:10" ht="135" x14ac:dyDescent="0.25">
      <c r="A2117" s="2" t="s">
        <v>122</v>
      </c>
      <c r="B2117" s="2">
        <v>850.93584509100003</v>
      </c>
      <c r="C2117" s="2" t="s">
        <v>11114</v>
      </c>
      <c r="D2117" s="2" t="s">
        <v>11113</v>
      </c>
      <c r="E2117" s="2" t="s">
        <v>1550</v>
      </c>
      <c r="F2117" s="3">
        <v>42718</v>
      </c>
      <c r="G2117" s="2" t="str">
        <f>"9781315308869"</f>
        <v>9781315308869</v>
      </c>
      <c r="H2117" s="2" t="s">
        <v>14</v>
      </c>
      <c r="I2117" s="4">
        <v>43017.486111111109</v>
      </c>
      <c r="J2117" s="2" t="s">
        <v>11115</v>
      </c>
    </row>
    <row r="2118" spans="1:10" ht="135" x14ac:dyDescent="0.25">
      <c r="A2118" s="2" t="s">
        <v>122</v>
      </c>
      <c r="B2118" s="2">
        <v>809.19354309400001</v>
      </c>
      <c r="C2118" s="2" t="s">
        <v>11852</v>
      </c>
      <c r="D2118" s="2" t="s">
        <v>11851</v>
      </c>
      <c r="E2118" s="2" t="s">
        <v>674</v>
      </c>
      <c r="F2118" s="3">
        <v>42371</v>
      </c>
      <c r="G2118" s="2" t="str">
        <f>""</f>
        <v/>
      </c>
      <c r="H2118" s="2" t="s">
        <v>14</v>
      </c>
      <c r="I2118" s="4">
        <v>42882.095833333333</v>
      </c>
      <c r="J2118" s="2" t="s">
        <v>11853</v>
      </c>
    </row>
    <row r="2119" spans="1:10" ht="135" x14ac:dyDescent="0.25">
      <c r="A2119" s="2" t="s">
        <v>122</v>
      </c>
      <c r="B2119" s="2" t="s">
        <v>2387</v>
      </c>
      <c r="C2119" s="2" t="s">
        <v>4018</v>
      </c>
      <c r="D2119" s="2" t="s">
        <v>4017</v>
      </c>
      <c r="E2119" s="2" t="s">
        <v>130</v>
      </c>
      <c r="F2119" s="3">
        <v>41028</v>
      </c>
      <c r="G2119" s="2" t="str">
        <f>"9780813042237"</f>
        <v>9780813042237</v>
      </c>
      <c r="H2119" s="2" t="s">
        <v>14</v>
      </c>
      <c r="I2119" s="4">
        <v>43725.560416666667</v>
      </c>
      <c r="J2119" s="2" t="s">
        <v>4019</v>
      </c>
    </row>
    <row r="2120" spans="1:10" ht="135" x14ac:dyDescent="0.25">
      <c r="A2120" s="2" t="s">
        <v>122</v>
      </c>
      <c r="B2120" s="2">
        <v>821.91200000000003</v>
      </c>
      <c r="C2120" s="2" t="s">
        <v>10821</v>
      </c>
      <c r="D2120" s="2" t="s">
        <v>10820</v>
      </c>
      <c r="E2120" s="2" t="s">
        <v>328</v>
      </c>
      <c r="F2120" s="3">
        <v>41997</v>
      </c>
      <c r="G2120" s="2" t="str">
        <f>"9780739192993"</f>
        <v>9780739192993</v>
      </c>
      <c r="H2120" s="2" t="s">
        <v>14</v>
      </c>
      <c r="I2120" s="4">
        <v>43033.754861111112</v>
      </c>
      <c r="J2120" s="2" t="s">
        <v>10822</v>
      </c>
    </row>
    <row r="2121" spans="1:10" ht="135" x14ac:dyDescent="0.25">
      <c r="A2121" s="2" t="s">
        <v>122</v>
      </c>
      <c r="B2121" s="2" t="s">
        <v>10238</v>
      </c>
      <c r="C2121" s="2" t="s">
        <v>10239</v>
      </c>
      <c r="D2121" s="2" t="s">
        <v>10237</v>
      </c>
      <c r="E2121" s="2" t="s">
        <v>284</v>
      </c>
      <c r="F2121" s="3">
        <v>38807</v>
      </c>
      <c r="G2121" s="2" t="str">
        <f>"9780824864958"</f>
        <v>9780824864958</v>
      </c>
      <c r="H2121" s="2" t="s">
        <v>14</v>
      </c>
      <c r="I2121" s="4">
        <v>43077.583333333336</v>
      </c>
      <c r="J2121" s="2" t="s">
        <v>10240</v>
      </c>
    </row>
    <row r="2122" spans="1:10" ht="135" x14ac:dyDescent="0.25">
      <c r="A2122" s="2" t="s">
        <v>122</v>
      </c>
      <c r="B2122" s="2" t="s">
        <v>6905</v>
      </c>
      <c r="C2122" s="2" t="s">
        <v>6906</v>
      </c>
      <c r="D2122" s="2" t="s">
        <v>6904</v>
      </c>
      <c r="E2122" s="2" t="s">
        <v>50</v>
      </c>
      <c r="F2122" s="3">
        <v>43070</v>
      </c>
      <c r="G2122" s="2" t="str">
        <f>"9781496202789"</f>
        <v>9781496202789</v>
      </c>
      <c r="H2122" s="2" t="s">
        <v>14</v>
      </c>
      <c r="I2122" s="4">
        <v>43477.595833333333</v>
      </c>
      <c r="J2122" s="2" t="s">
        <v>6907</v>
      </c>
    </row>
    <row r="2123" spans="1:10" ht="195" x14ac:dyDescent="0.25">
      <c r="A2123" s="2" t="s">
        <v>122</v>
      </c>
      <c r="B2123" s="2" t="s">
        <v>6149</v>
      </c>
      <c r="C2123" s="2" t="s">
        <v>6150</v>
      </c>
      <c r="D2123" s="2" t="s">
        <v>6148</v>
      </c>
      <c r="E2123" s="2" t="s">
        <v>397</v>
      </c>
      <c r="F2123" s="3">
        <v>43487</v>
      </c>
      <c r="G2123" s="2" t="str">
        <f>"9780822986379"</f>
        <v>9780822986379</v>
      </c>
      <c r="H2123" s="2" t="s">
        <v>14</v>
      </c>
      <c r="I2123" s="4">
        <v>43535.99722222222</v>
      </c>
      <c r="J2123" s="2" t="s">
        <v>6151</v>
      </c>
    </row>
    <row r="2124" spans="1:10" ht="135" x14ac:dyDescent="0.25">
      <c r="A2124" s="2" t="s">
        <v>122</v>
      </c>
      <c r="B2124" s="2">
        <v>843.00900000000001</v>
      </c>
      <c r="C2124" s="2" t="s">
        <v>3423</v>
      </c>
      <c r="D2124" s="2" t="s">
        <v>3422</v>
      </c>
      <c r="E2124" s="2" t="s">
        <v>101</v>
      </c>
      <c r="F2124" s="3">
        <v>43539</v>
      </c>
      <c r="G2124" s="2" t="str">
        <f>"9780810139343"</f>
        <v>9780810139343</v>
      </c>
      <c r="H2124" s="2" t="s">
        <v>14</v>
      </c>
      <c r="I2124" s="4">
        <v>43783.681250000001</v>
      </c>
      <c r="J2124" s="2" t="s">
        <v>3424</v>
      </c>
    </row>
    <row r="2125" spans="1:10" ht="135" x14ac:dyDescent="0.25">
      <c r="A2125" s="2" t="s">
        <v>122</v>
      </c>
      <c r="B2125" s="2">
        <v>871.01</v>
      </c>
      <c r="C2125" s="2" t="s">
        <v>2809</v>
      </c>
      <c r="D2125" s="2" t="s">
        <v>2808</v>
      </c>
      <c r="E2125" s="2" t="s">
        <v>65</v>
      </c>
      <c r="F2125" s="3">
        <v>43699</v>
      </c>
      <c r="G2125" s="2" t="str">
        <f>"9780806165943"</f>
        <v>9780806165943</v>
      </c>
      <c r="H2125" s="2" t="s">
        <v>14</v>
      </c>
      <c r="I2125" s="4">
        <v>43852.4375</v>
      </c>
      <c r="J2125" s="2" t="s">
        <v>2810</v>
      </c>
    </row>
    <row r="2126" spans="1:10" ht="135" x14ac:dyDescent="0.25">
      <c r="A2126" s="2" t="s">
        <v>122</v>
      </c>
      <c r="B2126" s="2" t="s">
        <v>6828</v>
      </c>
      <c r="C2126" s="2" t="s">
        <v>123</v>
      </c>
      <c r="D2126" s="2" t="s">
        <v>6827</v>
      </c>
      <c r="E2126" s="2" t="s">
        <v>622</v>
      </c>
      <c r="F2126" s="3">
        <v>43374</v>
      </c>
      <c r="G2126" s="2" t="str">
        <f>"9780826274151"</f>
        <v>9780826274151</v>
      </c>
      <c r="H2126" s="2" t="s">
        <v>14</v>
      </c>
      <c r="I2126" s="4">
        <v>43483.429166666669</v>
      </c>
      <c r="J2126" s="2" t="s">
        <v>6829</v>
      </c>
    </row>
    <row r="2127" spans="1:10" ht="135" x14ac:dyDescent="0.25">
      <c r="A2127" s="2" t="s">
        <v>122</v>
      </c>
      <c r="B2127" s="2">
        <v>823</v>
      </c>
      <c r="C2127" s="2" t="s">
        <v>12932</v>
      </c>
      <c r="D2127" s="2" t="s">
        <v>12931</v>
      </c>
      <c r="E2127" s="2" t="s">
        <v>4660</v>
      </c>
      <c r="F2127" s="3">
        <v>36647</v>
      </c>
      <c r="G2127" s="2" t="str">
        <f>"9780813158358"</f>
        <v>9780813158358</v>
      </c>
      <c r="H2127" s="2" t="s">
        <v>14</v>
      </c>
      <c r="I2127" s="4">
        <v>42757.386111111111</v>
      </c>
      <c r="J2127" s="2" t="s">
        <v>12933</v>
      </c>
    </row>
    <row r="2128" spans="1:10" ht="135" x14ac:dyDescent="0.25">
      <c r="A2128" s="2" t="s">
        <v>122</v>
      </c>
      <c r="B2128" s="2">
        <v>811.54</v>
      </c>
      <c r="C2128" s="2" t="s">
        <v>8786</v>
      </c>
      <c r="D2128" s="2" t="s">
        <v>8784</v>
      </c>
      <c r="E2128" s="2" t="s">
        <v>8785</v>
      </c>
      <c r="F2128" s="3">
        <v>41927</v>
      </c>
      <c r="G2128" s="2" t="str">
        <f>"9780807156902"</f>
        <v>9780807156902</v>
      </c>
      <c r="H2128" s="2" t="s">
        <v>14</v>
      </c>
      <c r="I2128" s="4">
        <v>43252.498611111114</v>
      </c>
      <c r="J2128" s="2" t="s">
        <v>8787</v>
      </c>
    </row>
    <row r="2129" spans="1:10" ht="135" x14ac:dyDescent="0.25">
      <c r="A2129" s="2" t="s">
        <v>122</v>
      </c>
      <c r="B2129" s="2">
        <v>840.93510903000004</v>
      </c>
      <c r="C2129" s="2" t="s">
        <v>9004</v>
      </c>
      <c r="D2129" s="2" t="s">
        <v>9003</v>
      </c>
      <c r="E2129" s="2" t="s">
        <v>4660</v>
      </c>
      <c r="F2129" s="3">
        <v>41827</v>
      </c>
      <c r="G2129" s="2" t="str">
        <f>"9780813164427"</f>
        <v>9780813164427</v>
      </c>
      <c r="H2129" s="2" t="s">
        <v>14</v>
      </c>
      <c r="I2129" s="4">
        <v>43228.413194444445</v>
      </c>
      <c r="J2129" s="2" t="s">
        <v>9005</v>
      </c>
    </row>
    <row r="2130" spans="1:10" ht="135" x14ac:dyDescent="0.25">
      <c r="A2130" s="2" t="s">
        <v>122</v>
      </c>
      <c r="B2130" s="2" t="s">
        <v>1542</v>
      </c>
      <c r="C2130" s="2" t="s">
        <v>1149</v>
      </c>
      <c r="D2130" s="2" t="s">
        <v>1541</v>
      </c>
      <c r="E2130" s="2" t="s">
        <v>585</v>
      </c>
      <c r="F2130" s="3">
        <v>43845</v>
      </c>
      <c r="G2130" s="2" t="str">
        <f>"9780226632759"</f>
        <v>9780226632759</v>
      </c>
      <c r="H2130" s="2" t="s">
        <v>14</v>
      </c>
      <c r="I2130" s="4">
        <v>43938.371527777781</v>
      </c>
      <c r="J2130" s="2" t="s">
        <v>1543</v>
      </c>
    </row>
    <row r="2131" spans="1:10" ht="210" x14ac:dyDescent="0.25">
      <c r="A2131" s="2" t="s">
        <v>122</v>
      </c>
      <c r="B2131" s="2">
        <v>808.3</v>
      </c>
      <c r="C2131" s="2" t="s">
        <v>2288</v>
      </c>
      <c r="D2131" s="2" t="s">
        <v>2287</v>
      </c>
      <c r="E2131" s="2" t="s">
        <v>180</v>
      </c>
      <c r="F2131" s="3">
        <v>42402</v>
      </c>
      <c r="G2131" s="2" t="str">
        <f>"9781479874859"</f>
        <v>9781479874859</v>
      </c>
      <c r="H2131" s="2" t="s">
        <v>14</v>
      </c>
      <c r="I2131" s="4">
        <v>43895.546527777777</v>
      </c>
      <c r="J2131" s="2" t="s">
        <v>2289</v>
      </c>
    </row>
    <row r="2132" spans="1:10" ht="135" x14ac:dyDescent="0.25">
      <c r="A2132" s="2" t="s">
        <v>122</v>
      </c>
      <c r="B2132" s="2">
        <v>809.933581</v>
      </c>
      <c r="C2132" s="2" t="s">
        <v>7665</v>
      </c>
      <c r="D2132" s="2" t="s">
        <v>7664</v>
      </c>
      <c r="E2132" s="2" t="s">
        <v>526</v>
      </c>
      <c r="F2132" s="3">
        <v>43222</v>
      </c>
      <c r="G2132" s="2" t="str">
        <f>"9781477315057"</f>
        <v>9781477315057</v>
      </c>
      <c r="H2132" s="2" t="s">
        <v>14</v>
      </c>
      <c r="I2132" s="4">
        <v>43401.401388888888</v>
      </c>
      <c r="J2132" s="2" t="s">
        <v>7666</v>
      </c>
    </row>
    <row r="2133" spans="1:10" ht="135" x14ac:dyDescent="0.25">
      <c r="A2133" s="2" t="s">
        <v>122</v>
      </c>
      <c r="B2133" s="2">
        <v>821.30899999999997</v>
      </c>
      <c r="C2133" s="2" t="s">
        <v>11952</v>
      </c>
      <c r="D2133" s="2" t="s">
        <v>11951</v>
      </c>
      <c r="E2133" s="2" t="s">
        <v>4660</v>
      </c>
      <c r="F2133" s="3">
        <v>29951</v>
      </c>
      <c r="G2133" s="2" t="str">
        <f>"9780813157245"</f>
        <v>9780813157245</v>
      </c>
      <c r="H2133" s="2" t="s">
        <v>14</v>
      </c>
      <c r="I2133" s="4">
        <v>42867.774305555555</v>
      </c>
      <c r="J2133" s="2" t="s">
        <v>11953</v>
      </c>
    </row>
    <row r="2134" spans="1:10" ht="135" x14ac:dyDescent="0.25">
      <c r="A2134" s="2" t="s">
        <v>122</v>
      </c>
      <c r="B2134" s="2" t="s">
        <v>3052</v>
      </c>
      <c r="C2134" s="2" t="s">
        <v>12300</v>
      </c>
      <c r="D2134" s="2" t="s">
        <v>12299</v>
      </c>
      <c r="E2134" s="2" t="s">
        <v>69</v>
      </c>
      <c r="F2134" s="3">
        <v>42372</v>
      </c>
      <c r="G2134" s="2" t="str">
        <f>"9780253019325"</f>
        <v>9780253019325</v>
      </c>
      <c r="H2134" s="2" t="s">
        <v>14</v>
      </c>
      <c r="I2134" s="4">
        <v>42817.7</v>
      </c>
      <c r="J2134" s="2" t="s">
        <v>12301</v>
      </c>
    </row>
    <row r="2135" spans="1:10" ht="135" x14ac:dyDescent="0.25">
      <c r="A2135" s="2" t="s">
        <v>122</v>
      </c>
      <c r="B2135" s="2">
        <v>823.08730000000003</v>
      </c>
      <c r="C2135" s="2" t="s">
        <v>10926</v>
      </c>
      <c r="D2135" s="2" t="s">
        <v>10925</v>
      </c>
      <c r="E2135" s="2" t="s">
        <v>4660</v>
      </c>
      <c r="F2135" s="3">
        <v>35788</v>
      </c>
      <c r="G2135" s="2" t="str">
        <f>"9780813147949"</f>
        <v>9780813147949</v>
      </c>
      <c r="H2135" s="2" t="s">
        <v>14</v>
      </c>
      <c r="I2135" s="4">
        <v>43028.550694444442</v>
      </c>
      <c r="J2135" s="2" t="s">
        <v>10927</v>
      </c>
    </row>
    <row r="2136" spans="1:10" ht="135" x14ac:dyDescent="0.25">
      <c r="A2136" s="2" t="s">
        <v>122</v>
      </c>
      <c r="B2136" s="2" t="s">
        <v>3738</v>
      </c>
      <c r="C2136" s="2" t="s">
        <v>3739</v>
      </c>
      <c r="D2136" s="2" t="s">
        <v>3737</v>
      </c>
      <c r="E2136" s="2" t="s">
        <v>28</v>
      </c>
      <c r="F2136" s="3">
        <v>42452</v>
      </c>
      <c r="G2136" s="2" t="str">
        <f>"9780813937946"</f>
        <v>9780813937946</v>
      </c>
      <c r="H2136" s="2" t="s">
        <v>14</v>
      </c>
      <c r="I2136" s="4">
        <v>43760.48333333333</v>
      </c>
      <c r="J2136" s="2" t="s">
        <v>3740</v>
      </c>
    </row>
    <row r="2137" spans="1:10" ht="135" x14ac:dyDescent="0.25">
      <c r="A2137" s="2" t="s">
        <v>122</v>
      </c>
      <c r="B2137" s="2" t="s">
        <v>9837</v>
      </c>
      <c r="C2137" s="2" t="s">
        <v>123</v>
      </c>
      <c r="D2137" s="2" t="s">
        <v>9836</v>
      </c>
      <c r="E2137" s="2" t="s">
        <v>54</v>
      </c>
      <c r="F2137" s="3">
        <v>42361</v>
      </c>
      <c r="G2137" s="2" t="str">
        <f>"9780804797030"</f>
        <v>9780804797030</v>
      </c>
      <c r="H2137" s="2" t="s">
        <v>14</v>
      </c>
      <c r="I2137" s="4">
        <v>43125.570833333331</v>
      </c>
      <c r="J2137" s="2" t="s">
        <v>9838</v>
      </c>
    </row>
    <row r="2138" spans="1:10" ht="135" x14ac:dyDescent="0.25">
      <c r="A2138" s="2" t="s">
        <v>122</v>
      </c>
      <c r="B2138" s="2" t="s">
        <v>5517</v>
      </c>
      <c r="C2138" s="2" t="s">
        <v>5518</v>
      </c>
      <c r="D2138" s="2" t="s">
        <v>5516</v>
      </c>
      <c r="E2138" s="2" t="s">
        <v>109</v>
      </c>
      <c r="F2138" s="3">
        <v>42367</v>
      </c>
      <c r="G2138" s="2" t="str">
        <f>"9780819575784"</f>
        <v>9780819575784</v>
      </c>
      <c r="H2138" s="2" t="s">
        <v>14</v>
      </c>
      <c r="I2138" s="4">
        <v>43593.618750000001</v>
      </c>
      <c r="J2138" s="2" t="s">
        <v>5519</v>
      </c>
    </row>
    <row r="2139" spans="1:10" ht="135" x14ac:dyDescent="0.25">
      <c r="A2139" s="2" t="s">
        <v>122</v>
      </c>
      <c r="B2139" s="2" t="s">
        <v>3262</v>
      </c>
      <c r="C2139" s="2" t="s">
        <v>11898</v>
      </c>
      <c r="D2139" s="2" t="s">
        <v>11897</v>
      </c>
      <c r="E2139" s="2" t="s">
        <v>674</v>
      </c>
      <c r="F2139" s="3">
        <v>42065</v>
      </c>
      <c r="G2139" s="2" t="str">
        <f>"9780823265077"</f>
        <v>9780823265077</v>
      </c>
      <c r="H2139" s="2" t="s">
        <v>14</v>
      </c>
      <c r="I2139" s="4">
        <v>42873.499305555553</v>
      </c>
      <c r="J2139" s="2" t="s">
        <v>11899</v>
      </c>
    </row>
    <row r="2140" spans="1:10" ht="135" x14ac:dyDescent="0.25">
      <c r="A2140" s="2" t="s">
        <v>122</v>
      </c>
      <c r="B2140" s="2">
        <v>813.08208999999999</v>
      </c>
      <c r="C2140" s="2" t="s">
        <v>7510</v>
      </c>
      <c r="D2140" s="2" t="s">
        <v>7509</v>
      </c>
      <c r="E2140" s="2" t="s">
        <v>50</v>
      </c>
      <c r="F2140" s="3">
        <v>43405</v>
      </c>
      <c r="G2140" s="2" t="str">
        <f>"9781496208736"</f>
        <v>9781496208736</v>
      </c>
      <c r="H2140" s="2" t="s">
        <v>14</v>
      </c>
      <c r="I2140" s="4">
        <v>43411.803472222222</v>
      </c>
      <c r="J2140" s="2" t="s">
        <v>7511</v>
      </c>
    </row>
    <row r="2141" spans="1:10" ht="150" x14ac:dyDescent="0.25">
      <c r="A2141" s="2" t="s">
        <v>122</v>
      </c>
      <c r="B2141" s="2" t="s">
        <v>4028</v>
      </c>
      <c r="C2141" s="2" t="s">
        <v>4029</v>
      </c>
      <c r="D2141" s="2" t="s">
        <v>4027</v>
      </c>
      <c r="E2141" s="2" t="s">
        <v>216</v>
      </c>
      <c r="F2141" s="3">
        <v>41944</v>
      </c>
      <c r="G2141" s="2" t="str">
        <f>"9781438453637"</f>
        <v>9781438453637</v>
      </c>
      <c r="H2141" s="2" t="s">
        <v>14</v>
      </c>
      <c r="I2141" s="4">
        <v>43724.875694444447</v>
      </c>
      <c r="J2141" s="2" t="s">
        <v>4030</v>
      </c>
    </row>
    <row r="2142" spans="1:10" ht="135" x14ac:dyDescent="0.25">
      <c r="A2142" s="2" t="s">
        <v>122</v>
      </c>
      <c r="B2142" s="2">
        <v>823.91200000000003</v>
      </c>
      <c r="C2142" s="2" t="s">
        <v>11907</v>
      </c>
      <c r="D2142" s="2" t="s">
        <v>11906</v>
      </c>
      <c r="E2142" s="2" t="s">
        <v>80</v>
      </c>
      <c r="F2142" s="3">
        <v>42426</v>
      </c>
      <c r="G2142" s="2" t="str">
        <f>"9783653061932"</f>
        <v>9783653061932</v>
      </c>
      <c r="H2142" s="2" t="s">
        <v>14</v>
      </c>
      <c r="I2142" s="4">
        <v>42872.622916666667</v>
      </c>
      <c r="J2142" s="2" t="s">
        <v>11908</v>
      </c>
    </row>
    <row r="2143" spans="1:10" ht="135" x14ac:dyDescent="0.25">
      <c r="A2143" s="2" t="s">
        <v>122</v>
      </c>
      <c r="B2143" s="2" t="s">
        <v>9341</v>
      </c>
      <c r="C2143" s="2" t="s">
        <v>9342</v>
      </c>
      <c r="D2143" s="2" t="s">
        <v>9340</v>
      </c>
      <c r="E2143" s="2" t="s">
        <v>256</v>
      </c>
      <c r="F2143" s="3">
        <v>42256</v>
      </c>
      <c r="G2143" s="2" t="str">
        <f>"9780821445389"</f>
        <v>9780821445389</v>
      </c>
      <c r="H2143" s="2" t="s">
        <v>14</v>
      </c>
      <c r="I2143" s="4">
        <v>43181.584027777775</v>
      </c>
      <c r="J2143" s="2" t="s">
        <v>9343</v>
      </c>
    </row>
    <row r="2144" spans="1:10" ht="150" x14ac:dyDescent="0.25">
      <c r="A2144" s="2" t="s">
        <v>122</v>
      </c>
      <c r="B2144" s="2">
        <v>830.93525199999999</v>
      </c>
      <c r="C2144" s="2" t="s">
        <v>4875</v>
      </c>
      <c r="D2144" s="2" t="s">
        <v>4874</v>
      </c>
      <c r="E2144" s="2" t="s">
        <v>101</v>
      </c>
      <c r="F2144" s="3">
        <v>43539</v>
      </c>
      <c r="G2144" s="2" t="str">
        <f>"9780810139312"</f>
        <v>9780810139312</v>
      </c>
      <c r="H2144" s="2" t="s">
        <v>14</v>
      </c>
      <c r="I2144" s="4">
        <v>43619.633333333331</v>
      </c>
      <c r="J2144" s="2" t="s">
        <v>4876</v>
      </c>
    </row>
    <row r="2145" spans="1:10" ht="135" x14ac:dyDescent="0.25">
      <c r="A2145" s="2" t="s">
        <v>122</v>
      </c>
      <c r="B2145" s="2">
        <v>823.91200000000003</v>
      </c>
      <c r="C2145" s="2" t="s">
        <v>3562</v>
      </c>
      <c r="D2145" s="2" t="s">
        <v>3561</v>
      </c>
      <c r="E2145" s="2" t="s">
        <v>310</v>
      </c>
      <c r="F2145" s="3">
        <v>42838</v>
      </c>
      <c r="G2145" s="2" t="str">
        <f>"9780815654032"</f>
        <v>9780815654032</v>
      </c>
      <c r="H2145" s="2" t="s">
        <v>14</v>
      </c>
      <c r="I2145" s="4">
        <v>43775.386111111111</v>
      </c>
      <c r="J2145" s="2" t="s">
        <v>3563</v>
      </c>
    </row>
    <row r="2146" spans="1:10" ht="135" x14ac:dyDescent="0.25">
      <c r="A2146" s="2" t="s">
        <v>122</v>
      </c>
      <c r="B2146" s="2">
        <v>810.99749999999995</v>
      </c>
      <c r="C2146" s="2" t="s">
        <v>2231</v>
      </c>
      <c r="D2146" s="2" t="s">
        <v>2230</v>
      </c>
      <c r="E2146" s="2" t="s">
        <v>322</v>
      </c>
      <c r="F2146" s="3">
        <v>43770</v>
      </c>
      <c r="G2146" s="2" t="str">
        <f>"9780820356006"</f>
        <v>9780820356006</v>
      </c>
      <c r="H2146" s="2" t="s">
        <v>14</v>
      </c>
      <c r="I2146" s="4">
        <v>43899.508333333331</v>
      </c>
      <c r="J2146" s="2" t="s">
        <v>2232</v>
      </c>
    </row>
    <row r="2147" spans="1:10" ht="135" x14ac:dyDescent="0.25">
      <c r="A2147" s="2" t="s">
        <v>122</v>
      </c>
      <c r="B2147" s="2" t="s">
        <v>5742</v>
      </c>
      <c r="C2147" s="2" t="s">
        <v>11979</v>
      </c>
      <c r="D2147" s="2" t="s">
        <v>11978</v>
      </c>
      <c r="E2147" s="2" t="s">
        <v>164</v>
      </c>
      <c r="F2147" s="3">
        <v>42170</v>
      </c>
      <c r="G2147" s="2" t="str">
        <f>"9780826355782"</f>
        <v>9780826355782</v>
      </c>
      <c r="H2147" s="2" t="s">
        <v>14</v>
      </c>
      <c r="I2147" s="4">
        <v>42865.682638888888</v>
      </c>
      <c r="J2147" s="2" t="s">
        <v>11980</v>
      </c>
    </row>
    <row r="2148" spans="1:10" ht="135" x14ac:dyDescent="0.25">
      <c r="A2148" s="2" t="s">
        <v>122</v>
      </c>
      <c r="B2148" s="2" t="s">
        <v>10508</v>
      </c>
      <c r="C2148" s="2" t="s">
        <v>10509</v>
      </c>
      <c r="D2148" s="2" t="s">
        <v>10507</v>
      </c>
      <c r="E2148" s="2" t="s">
        <v>54</v>
      </c>
      <c r="F2148" s="3">
        <v>42871</v>
      </c>
      <c r="G2148" s="2" t="str">
        <f>"9781503602601"</f>
        <v>9781503602601</v>
      </c>
      <c r="H2148" s="2" t="s">
        <v>14</v>
      </c>
      <c r="I2148" s="4">
        <v>43053.694444444445</v>
      </c>
      <c r="J2148" s="2" t="s">
        <v>10510</v>
      </c>
    </row>
    <row r="2149" spans="1:10" ht="135" x14ac:dyDescent="0.25">
      <c r="A2149" s="2" t="s">
        <v>122</v>
      </c>
      <c r="B2149" s="2">
        <v>842.4</v>
      </c>
      <c r="C2149" s="2" t="s">
        <v>9665</v>
      </c>
      <c r="D2149" s="2" t="s">
        <v>9664</v>
      </c>
      <c r="E2149" s="2" t="s">
        <v>723</v>
      </c>
      <c r="F2149" s="3">
        <v>42109</v>
      </c>
      <c r="G2149" s="2" t="str">
        <f>"9781612493855"</f>
        <v>9781612493855</v>
      </c>
      <c r="H2149" s="2" t="s">
        <v>14</v>
      </c>
      <c r="I2149" s="4">
        <v>43139.524305555555</v>
      </c>
      <c r="J2149" s="2" t="s">
        <v>9666</v>
      </c>
    </row>
    <row r="2150" spans="1:10" ht="165" x14ac:dyDescent="0.25">
      <c r="A2150" s="2" t="s">
        <v>122</v>
      </c>
      <c r="B2150" s="2">
        <v>840.90039999999999</v>
      </c>
      <c r="C2150" s="2" t="s">
        <v>5903</v>
      </c>
      <c r="D2150" s="2" t="s">
        <v>5902</v>
      </c>
      <c r="E2150" s="2" t="s">
        <v>101</v>
      </c>
      <c r="F2150" s="3">
        <v>43235</v>
      </c>
      <c r="G2150" s="2" t="str">
        <f>"9780810136991"</f>
        <v>9780810136991</v>
      </c>
      <c r="H2150" s="2" t="s">
        <v>14</v>
      </c>
      <c r="I2150" s="4">
        <v>43560.461805555555</v>
      </c>
      <c r="J2150" s="2" t="s">
        <v>5904</v>
      </c>
    </row>
    <row r="2151" spans="1:10" ht="135" x14ac:dyDescent="0.25">
      <c r="A2151" s="2" t="s">
        <v>122</v>
      </c>
      <c r="B2151" s="2" t="s">
        <v>6785</v>
      </c>
      <c r="C2151" s="2" t="s">
        <v>5589</v>
      </c>
      <c r="D2151" s="2" t="s">
        <v>6784</v>
      </c>
      <c r="E2151" s="2" t="s">
        <v>54</v>
      </c>
      <c r="F2151" s="3">
        <v>42277</v>
      </c>
      <c r="G2151" s="2" t="str">
        <f>"9780804796699"</f>
        <v>9780804796699</v>
      </c>
      <c r="H2151" s="2" t="s">
        <v>14</v>
      </c>
      <c r="I2151" s="4">
        <v>43486.561111111114</v>
      </c>
      <c r="J2151" s="2" t="s">
        <v>6786</v>
      </c>
    </row>
    <row r="2152" spans="1:10" ht="135" x14ac:dyDescent="0.25">
      <c r="A2152" s="2" t="s">
        <v>122</v>
      </c>
      <c r="B2152" s="2">
        <v>811.54</v>
      </c>
      <c r="C2152" s="2" t="s">
        <v>12858</v>
      </c>
      <c r="D2152" s="2" t="s">
        <v>12857</v>
      </c>
      <c r="E2152" s="2" t="s">
        <v>130</v>
      </c>
      <c r="F2152" s="3">
        <v>42666</v>
      </c>
      <c r="G2152" s="2" t="str">
        <f>"9780813052571"</f>
        <v>9780813052571</v>
      </c>
      <c r="H2152" s="2" t="s">
        <v>14</v>
      </c>
      <c r="I2152" s="4">
        <v>42766.347222222219</v>
      </c>
      <c r="J2152" s="2" t="s">
        <v>12859</v>
      </c>
    </row>
    <row r="2153" spans="1:10" ht="135" x14ac:dyDescent="0.25">
      <c r="A2153" s="2" t="s">
        <v>122</v>
      </c>
      <c r="B2153" s="2" t="s">
        <v>3650</v>
      </c>
      <c r="C2153" s="2" t="s">
        <v>3651</v>
      </c>
      <c r="D2153" s="2" t="s">
        <v>3649</v>
      </c>
      <c r="E2153" s="2" t="s">
        <v>54</v>
      </c>
      <c r="F2153" s="3">
        <v>40094</v>
      </c>
      <c r="G2153" s="2" t="str">
        <f>"9780804772518"</f>
        <v>9780804772518</v>
      </c>
      <c r="H2153" s="2" t="s">
        <v>14</v>
      </c>
      <c r="I2153" s="4">
        <v>43769.326388888891</v>
      </c>
      <c r="J2153" s="2" t="s">
        <v>3652</v>
      </c>
    </row>
    <row r="2154" spans="1:10" ht="135" x14ac:dyDescent="0.25">
      <c r="A2154" s="2" t="s">
        <v>122</v>
      </c>
      <c r="B2154" s="2">
        <v>813.54</v>
      </c>
      <c r="C2154" s="2" t="s">
        <v>4357</v>
      </c>
      <c r="D2154" s="2" t="s">
        <v>4356</v>
      </c>
      <c r="E2154" s="2" t="s">
        <v>322</v>
      </c>
      <c r="F2154" s="3">
        <v>43419</v>
      </c>
      <c r="G2154" s="2" t="str">
        <f>"9780820353999"</f>
        <v>9780820353999</v>
      </c>
      <c r="H2154" s="2" t="s">
        <v>14</v>
      </c>
      <c r="I2154" s="4">
        <v>43677.568055555559</v>
      </c>
      <c r="J2154" s="2" t="s">
        <v>4358</v>
      </c>
    </row>
    <row r="2155" spans="1:10" ht="135" x14ac:dyDescent="0.25">
      <c r="A2155" s="2" t="s">
        <v>122</v>
      </c>
      <c r="B2155" s="2">
        <v>892.7</v>
      </c>
      <c r="C2155" s="2" t="s">
        <v>4769</v>
      </c>
      <c r="D2155" s="2" t="s">
        <v>4768</v>
      </c>
      <c r="E2155" s="2" t="s">
        <v>310</v>
      </c>
      <c r="F2155" s="3">
        <v>39710</v>
      </c>
      <c r="G2155" s="2" t="str">
        <f>"9780815654254"</f>
        <v>9780815654254</v>
      </c>
      <c r="H2155" s="2" t="s">
        <v>14</v>
      </c>
      <c r="I2155" s="4">
        <v>43628.552083333336</v>
      </c>
      <c r="J2155" s="2" t="s">
        <v>4770</v>
      </c>
    </row>
    <row r="2156" spans="1:10" ht="135" x14ac:dyDescent="0.25">
      <c r="A2156" s="2" t="s">
        <v>122</v>
      </c>
      <c r="B2156" s="2" t="s">
        <v>10673</v>
      </c>
      <c r="C2156" s="2" t="s">
        <v>10674</v>
      </c>
      <c r="D2156" s="2" t="s">
        <v>10672</v>
      </c>
      <c r="E2156" s="2" t="s">
        <v>260</v>
      </c>
      <c r="F2156" s="3">
        <v>41732</v>
      </c>
      <c r="G2156" s="2" t="str">
        <f>"9780823257119"</f>
        <v>9780823257119</v>
      </c>
      <c r="H2156" s="2" t="s">
        <v>14</v>
      </c>
      <c r="I2156" s="4">
        <v>43043.5</v>
      </c>
      <c r="J2156" s="2" t="s">
        <v>10675</v>
      </c>
    </row>
    <row r="2157" spans="1:10" ht="165" x14ac:dyDescent="0.25">
      <c r="A2157" s="2" t="s">
        <v>122</v>
      </c>
      <c r="B2157" s="2">
        <v>813.00935500000003</v>
      </c>
      <c r="C2157" s="2" t="s">
        <v>3611</v>
      </c>
      <c r="D2157" s="2" t="s">
        <v>3609</v>
      </c>
      <c r="E2157" s="2" t="s">
        <v>3610</v>
      </c>
      <c r="F2157" s="3">
        <v>43580</v>
      </c>
      <c r="G2157" s="2" t="str">
        <f>"9781433164897"</f>
        <v>9781433164897</v>
      </c>
      <c r="H2157" s="2" t="s">
        <v>14</v>
      </c>
      <c r="I2157" s="4">
        <v>43771.646527777775</v>
      </c>
      <c r="J2157" s="2" t="s">
        <v>3612</v>
      </c>
    </row>
    <row r="2158" spans="1:10" ht="135" x14ac:dyDescent="0.25">
      <c r="A2158" s="2" t="s">
        <v>122</v>
      </c>
      <c r="B2158" s="2" t="s">
        <v>137</v>
      </c>
      <c r="C2158" s="2" t="s">
        <v>10002</v>
      </c>
      <c r="D2158" s="2" t="s">
        <v>10001</v>
      </c>
      <c r="E2158" s="2" t="s">
        <v>216</v>
      </c>
      <c r="F2158" s="3">
        <v>41974</v>
      </c>
      <c r="G2158" s="2" t="str">
        <f>"9781438453576"</f>
        <v>9781438453576</v>
      </c>
      <c r="H2158" s="2" t="s">
        <v>14</v>
      </c>
      <c r="I2158" s="4">
        <v>43112.599305555559</v>
      </c>
      <c r="J2158" s="2" t="s">
        <v>10003</v>
      </c>
    </row>
    <row r="2159" spans="1:10" ht="135" x14ac:dyDescent="0.25">
      <c r="A2159" s="2" t="s">
        <v>122</v>
      </c>
      <c r="B2159" s="2">
        <v>809.93320000000006</v>
      </c>
      <c r="C2159" s="2" t="s">
        <v>5203</v>
      </c>
      <c r="D2159" s="2" t="s">
        <v>5202</v>
      </c>
      <c r="E2159" s="2" t="s">
        <v>69</v>
      </c>
      <c r="F2159" s="3">
        <v>43413</v>
      </c>
      <c r="G2159" s="2" t="str">
        <f>"9780253037695"</f>
        <v>9780253037695</v>
      </c>
      <c r="H2159" s="2" t="s">
        <v>14</v>
      </c>
      <c r="I2159" s="4">
        <v>43607.984027777777</v>
      </c>
      <c r="J2159" s="2" t="s">
        <v>5204</v>
      </c>
    </row>
    <row r="2160" spans="1:10" ht="135" x14ac:dyDescent="0.25">
      <c r="A2160" s="2" t="s">
        <v>122</v>
      </c>
      <c r="B2160" s="2">
        <v>811.52</v>
      </c>
      <c r="C2160" s="2" t="s">
        <v>3625</v>
      </c>
      <c r="D2160" s="2" t="s">
        <v>3624</v>
      </c>
      <c r="E2160" s="2" t="s">
        <v>130</v>
      </c>
      <c r="F2160" s="3">
        <v>41681</v>
      </c>
      <c r="G2160" s="2" t="str">
        <f>"9780813048727"</f>
        <v>9780813048727</v>
      </c>
      <c r="H2160" s="2" t="s">
        <v>14</v>
      </c>
      <c r="I2160" s="4">
        <v>43770.640972222223</v>
      </c>
      <c r="J2160" s="2" t="s">
        <v>3626</v>
      </c>
    </row>
    <row r="2161" spans="1:10" ht="135" x14ac:dyDescent="0.25">
      <c r="A2161" s="2" t="s">
        <v>122</v>
      </c>
      <c r="B2161" s="2" t="s">
        <v>6810</v>
      </c>
      <c r="C2161" s="2" t="s">
        <v>6811</v>
      </c>
      <c r="D2161" s="2" t="s">
        <v>6809</v>
      </c>
      <c r="E2161" s="2" t="s">
        <v>322</v>
      </c>
      <c r="F2161" s="3">
        <v>41866</v>
      </c>
      <c r="G2161" s="2" t="str">
        <f>"9780820346977"</f>
        <v>9780820346977</v>
      </c>
      <c r="H2161" s="2" t="s">
        <v>14</v>
      </c>
      <c r="I2161" s="4">
        <v>43484.70208333333</v>
      </c>
      <c r="J2161" s="2" t="s">
        <v>6812</v>
      </c>
    </row>
    <row r="2162" spans="1:10" ht="135" x14ac:dyDescent="0.25">
      <c r="A2162" s="2" t="s">
        <v>122</v>
      </c>
      <c r="B2162" s="2">
        <v>842.05120904</v>
      </c>
      <c r="C2162" s="2" t="s">
        <v>6268</v>
      </c>
      <c r="D2162" s="2" t="s">
        <v>6267</v>
      </c>
      <c r="E2162" s="2" t="s">
        <v>101</v>
      </c>
      <c r="F2162" s="3">
        <v>43235</v>
      </c>
      <c r="G2162" s="2" t="str">
        <f>"9780810137110"</f>
        <v>9780810137110</v>
      </c>
      <c r="H2162" s="2" t="s">
        <v>14</v>
      </c>
      <c r="I2162" s="4">
        <v>43528.613194444442</v>
      </c>
      <c r="J2162" s="2" t="s">
        <v>6269</v>
      </c>
    </row>
    <row r="2163" spans="1:10" ht="135" x14ac:dyDescent="0.25">
      <c r="A2163" s="2" t="s">
        <v>122</v>
      </c>
      <c r="B2163" s="2">
        <v>809.93358569400004</v>
      </c>
      <c r="C2163" s="2" t="s">
        <v>6726</v>
      </c>
      <c r="D2163" s="2" t="s">
        <v>6725</v>
      </c>
      <c r="E2163" s="2" t="s">
        <v>54</v>
      </c>
      <c r="F2163" s="3">
        <v>42326</v>
      </c>
      <c r="G2163" s="2" t="str">
        <f>"9780804796859"</f>
        <v>9780804796859</v>
      </c>
      <c r="H2163" s="2" t="s">
        <v>14</v>
      </c>
      <c r="I2163" s="4">
        <v>43492.80972222222</v>
      </c>
      <c r="J2163" s="2" t="s">
        <v>6727</v>
      </c>
    </row>
    <row r="2164" spans="1:10" ht="135" x14ac:dyDescent="0.25">
      <c r="A2164" s="2" t="s">
        <v>122</v>
      </c>
      <c r="B2164" s="2">
        <v>830.93209033000005</v>
      </c>
      <c r="C2164" s="2" t="s">
        <v>5931</v>
      </c>
      <c r="D2164" s="2" t="s">
        <v>5930</v>
      </c>
      <c r="E2164" s="2" t="s">
        <v>101</v>
      </c>
      <c r="F2164" s="3">
        <v>42870</v>
      </c>
      <c r="G2164" s="2" t="str">
        <f>"9780810134799"</f>
        <v>9780810134799</v>
      </c>
      <c r="H2164" s="2" t="s">
        <v>14</v>
      </c>
      <c r="I2164" s="4">
        <v>43556.780555555553</v>
      </c>
      <c r="J2164" s="2" t="s">
        <v>5932</v>
      </c>
    </row>
    <row r="2165" spans="1:10" ht="135" x14ac:dyDescent="0.25">
      <c r="A2165" s="2" t="s">
        <v>122</v>
      </c>
      <c r="B2165" s="2">
        <v>808.1</v>
      </c>
      <c r="C2165" s="2" t="s">
        <v>9880</v>
      </c>
      <c r="D2165" s="2" t="s">
        <v>9879</v>
      </c>
      <c r="E2165" s="2" t="s">
        <v>260</v>
      </c>
      <c r="F2165" s="3">
        <v>41988</v>
      </c>
      <c r="G2165" s="2" t="str">
        <f>"9780823262502"</f>
        <v>9780823262502</v>
      </c>
      <c r="H2165" s="2" t="s">
        <v>14</v>
      </c>
      <c r="I2165" s="4">
        <v>43123.511805555558</v>
      </c>
      <c r="J2165" s="2" t="s">
        <v>9881</v>
      </c>
    </row>
    <row r="2166" spans="1:10" ht="135" x14ac:dyDescent="0.25">
      <c r="A2166" s="2" t="s">
        <v>122</v>
      </c>
      <c r="B2166" s="2">
        <v>823.91399999999999</v>
      </c>
      <c r="C2166" s="2" t="s">
        <v>7943</v>
      </c>
      <c r="D2166" s="2" t="s">
        <v>7942</v>
      </c>
      <c r="E2166" s="2" t="s">
        <v>23</v>
      </c>
      <c r="F2166" s="3">
        <v>43227</v>
      </c>
      <c r="G2166" s="2" t="str">
        <f>"9780814342879"</f>
        <v>9780814342879</v>
      </c>
      <c r="H2166" s="2" t="s">
        <v>14</v>
      </c>
      <c r="I2166" s="4">
        <v>43374.425694444442</v>
      </c>
      <c r="J2166" s="2" t="s">
        <v>7944</v>
      </c>
    </row>
    <row r="2167" spans="1:10" ht="135" x14ac:dyDescent="0.25">
      <c r="A2167" s="2" t="s">
        <v>122</v>
      </c>
      <c r="B2167" s="2">
        <v>895.10935099999995</v>
      </c>
      <c r="C2167" s="2" t="s">
        <v>1144</v>
      </c>
      <c r="D2167" s="2" t="s">
        <v>5785</v>
      </c>
      <c r="E2167" s="2" t="s">
        <v>856</v>
      </c>
      <c r="F2167" s="3">
        <v>43177</v>
      </c>
      <c r="G2167" s="2" t="str">
        <f>"9780295743202"</f>
        <v>9780295743202</v>
      </c>
      <c r="H2167" s="2" t="s">
        <v>14</v>
      </c>
      <c r="I2167" s="4">
        <v>43571.886805555558</v>
      </c>
      <c r="J2167" s="2" t="s">
        <v>5786</v>
      </c>
    </row>
    <row r="2168" spans="1:10" ht="135" x14ac:dyDescent="0.25">
      <c r="A2168" s="2" t="s">
        <v>122</v>
      </c>
      <c r="B2168" s="2" t="s">
        <v>2465</v>
      </c>
      <c r="C2168" s="2" t="s">
        <v>2466</v>
      </c>
      <c r="D2168" s="2" t="s">
        <v>2464</v>
      </c>
      <c r="E2168" s="2" t="s">
        <v>28</v>
      </c>
      <c r="F2168" s="3">
        <v>43734</v>
      </c>
      <c r="G2168" s="2" t="str">
        <f>"9780813943145"</f>
        <v>9780813943145</v>
      </c>
      <c r="H2168" s="2" t="s">
        <v>14</v>
      </c>
      <c r="I2168" s="4">
        <v>43883.505555555559</v>
      </c>
      <c r="J2168" s="2" t="s">
        <v>2467</v>
      </c>
    </row>
    <row r="2169" spans="1:10" ht="150" x14ac:dyDescent="0.25">
      <c r="A2169" s="2" t="s">
        <v>122</v>
      </c>
      <c r="B2169" s="2">
        <v>896</v>
      </c>
      <c r="C2169" s="2" t="s">
        <v>7940</v>
      </c>
      <c r="D2169" s="2" t="s">
        <v>7939</v>
      </c>
      <c r="E2169" s="2" t="s">
        <v>455</v>
      </c>
      <c r="F2169" s="3">
        <v>42931</v>
      </c>
      <c r="G2169" s="2" t="str">
        <f>"9781631012945"</f>
        <v>9781631012945</v>
      </c>
      <c r="H2169" s="2" t="s">
        <v>14</v>
      </c>
      <c r="I2169" s="4">
        <v>43374.711805555555</v>
      </c>
      <c r="J2169" s="2" t="s">
        <v>7941</v>
      </c>
    </row>
    <row r="2170" spans="1:10" ht="135" x14ac:dyDescent="0.25">
      <c r="A2170" s="2" t="s">
        <v>122</v>
      </c>
      <c r="B2170" s="2">
        <v>830.93526910905098</v>
      </c>
      <c r="C2170" s="2" t="s">
        <v>619</v>
      </c>
      <c r="D2170" s="2" t="s">
        <v>8266</v>
      </c>
      <c r="E2170" s="2" t="s">
        <v>37</v>
      </c>
      <c r="F2170" s="3">
        <v>42802</v>
      </c>
      <c r="G2170" s="2" t="str">
        <f>"9783319504841"</f>
        <v>9783319504841</v>
      </c>
      <c r="H2170" s="2" t="s">
        <v>14</v>
      </c>
      <c r="I2170" s="4">
        <v>43329.384722222225</v>
      </c>
      <c r="J2170" s="2" t="s">
        <v>8267</v>
      </c>
    </row>
    <row r="2171" spans="1:10" ht="135" x14ac:dyDescent="0.25">
      <c r="A2171" s="2" t="s">
        <v>122</v>
      </c>
      <c r="B2171" s="2">
        <v>895.10900509999999</v>
      </c>
      <c r="C2171" s="2" t="s">
        <v>7969</v>
      </c>
      <c r="D2171" s="2" t="s">
        <v>7968</v>
      </c>
      <c r="E2171" s="2" t="s">
        <v>97</v>
      </c>
      <c r="F2171" s="3">
        <v>42521</v>
      </c>
      <c r="G2171" s="2" t="str">
        <f>"9780231541831"</f>
        <v>9780231541831</v>
      </c>
      <c r="H2171" s="2" t="s">
        <v>14</v>
      </c>
      <c r="I2171" s="4">
        <v>43369.694444444445</v>
      </c>
      <c r="J2171" s="2" t="s">
        <v>7970</v>
      </c>
    </row>
    <row r="2172" spans="1:10" ht="135" x14ac:dyDescent="0.25">
      <c r="A2172" s="2" t="s">
        <v>122</v>
      </c>
      <c r="B2172" s="2">
        <v>809.83349999999996</v>
      </c>
      <c r="C2172" s="2" t="s">
        <v>8570</v>
      </c>
      <c r="D2172" s="2" t="s">
        <v>8569</v>
      </c>
      <c r="E2172" s="2" t="s">
        <v>328</v>
      </c>
      <c r="F2172" s="3">
        <v>41445</v>
      </c>
      <c r="G2172" s="2" t="str">
        <f>"9780739182710"</f>
        <v>9780739182710</v>
      </c>
      <c r="H2172" s="2" t="s">
        <v>14</v>
      </c>
      <c r="I2172" s="4">
        <v>43287.476388888892</v>
      </c>
      <c r="J2172" s="2" t="s">
        <v>8571</v>
      </c>
    </row>
    <row r="2173" spans="1:10" ht="135" x14ac:dyDescent="0.25">
      <c r="A2173" s="2" t="s">
        <v>122</v>
      </c>
      <c r="B2173" s="2">
        <v>823.92099414999996</v>
      </c>
      <c r="C2173" s="2" t="s">
        <v>8745</v>
      </c>
      <c r="D2173" s="2" t="s">
        <v>8744</v>
      </c>
      <c r="E2173" s="2" t="s">
        <v>310</v>
      </c>
      <c r="F2173" s="3">
        <v>43227</v>
      </c>
      <c r="G2173" s="2" t="str">
        <f>"9780815654339"</f>
        <v>9780815654339</v>
      </c>
      <c r="H2173" s="2" t="s">
        <v>14</v>
      </c>
      <c r="I2173" s="4">
        <v>43258.527083333334</v>
      </c>
      <c r="J2173" s="2" t="s">
        <v>8746</v>
      </c>
    </row>
    <row r="2174" spans="1:10" ht="135" x14ac:dyDescent="0.25">
      <c r="A2174" s="2" t="s">
        <v>122</v>
      </c>
      <c r="B2174" s="2" t="s">
        <v>9724</v>
      </c>
      <c r="C2174" s="2" t="s">
        <v>9725</v>
      </c>
      <c r="D2174" s="2" t="s">
        <v>9723</v>
      </c>
      <c r="E2174" s="2" t="s">
        <v>2798</v>
      </c>
      <c r="F2174" s="3">
        <v>39945</v>
      </c>
      <c r="G2174" s="2" t="str">
        <f>"9781604733525"</f>
        <v>9781604733525</v>
      </c>
      <c r="H2174" s="2" t="s">
        <v>14</v>
      </c>
      <c r="I2174" s="4">
        <v>43133.677083333336</v>
      </c>
      <c r="J2174" s="2" t="s">
        <v>9726</v>
      </c>
    </row>
    <row r="2175" spans="1:10" ht="135" x14ac:dyDescent="0.25">
      <c r="A2175" s="2" t="s">
        <v>122</v>
      </c>
      <c r="B2175" s="2">
        <v>860.93522090500005</v>
      </c>
      <c r="C2175" s="2" t="s">
        <v>7383</v>
      </c>
      <c r="D2175" s="2" t="s">
        <v>7382</v>
      </c>
      <c r="E2175" s="2" t="s">
        <v>216</v>
      </c>
      <c r="F2175" s="3">
        <v>43374</v>
      </c>
      <c r="G2175" s="2" t="str">
        <f>"9781438471914"</f>
        <v>9781438471914</v>
      </c>
      <c r="H2175" s="2" t="s">
        <v>14</v>
      </c>
      <c r="I2175" s="4">
        <v>43420.65625</v>
      </c>
      <c r="J2175" s="2" t="s">
        <v>7384</v>
      </c>
    </row>
    <row r="2176" spans="1:10" ht="135" x14ac:dyDescent="0.25">
      <c r="A2176" s="2" t="s">
        <v>122</v>
      </c>
      <c r="B2176" s="2" t="s">
        <v>137</v>
      </c>
      <c r="C2176" s="2" t="s">
        <v>4135</v>
      </c>
      <c r="D2176" s="2" t="s">
        <v>4134</v>
      </c>
      <c r="E2176" s="2" t="s">
        <v>164</v>
      </c>
      <c r="F2176" s="3">
        <v>42505</v>
      </c>
      <c r="G2176" s="2" t="str">
        <f>"9780826356802"</f>
        <v>9780826356802</v>
      </c>
      <c r="H2176" s="2" t="s">
        <v>14</v>
      </c>
      <c r="I2176" s="4">
        <v>43709.364583333336</v>
      </c>
      <c r="J2176" s="2" t="s">
        <v>4136</v>
      </c>
    </row>
    <row r="2177" spans="1:10" ht="135" x14ac:dyDescent="0.25">
      <c r="A2177" s="2" t="s">
        <v>122</v>
      </c>
      <c r="B2177" s="2">
        <v>891.73009000000002</v>
      </c>
      <c r="C2177" s="2" t="s">
        <v>10744</v>
      </c>
      <c r="D2177" s="2" t="s">
        <v>10743</v>
      </c>
      <c r="E2177" s="2" t="s">
        <v>101</v>
      </c>
      <c r="F2177" s="3">
        <v>42870</v>
      </c>
      <c r="G2177" s="2" t="str">
        <f>"9780810134935"</f>
        <v>9780810134935</v>
      </c>
      <c r="H2177" s="2" t="s">
        <v>14</v>
      </c>
      <c r="I2177" s="4">
        <v>43038.845138888886</v>
      </c>
      <c r="J2177" s="2" t="s">
        <v>10745</v>
      </c>
    </row>
    <row r="2178" spans="1:10" ht="135" x14ac:dyDescent="0.25">
      <c r="A2178" s="2" t="s">
        <v>122</v>
      </c>
      <c r="B2178" s="2">
        <v>809.933581</v>
      </c>
      <c r="C2178" s="2" t="s">
        <v>3197</v>
      </c>
      <c r="D2178" s="2" t="s">
        <v>3196</v>
      </c>
      <c r="E2178" s="2" t="s">
        <v>1434</v>
      </c>
      <c r="F2178" s="3">
        <v>43084</v>
      </c>
      <c r="G2178" s="2" t="str">
        <f>"9789633862032"</f>
        <v>9789633862032</v>
      </c>
      <c r="H2178" s="2" t="s">
        <v>14</v>
      </c>
      <c r="I2178" s="4">
        <v>43799.634027777778</v>
      </c>
      <c r="J2178" s="2" t="s">
        <v>3198</v>
      </c>
    </row>
    <row r="2179" spans="1:10" ht="135" x14ac:dyDescent="0.25">
      <c r="A2179" s="2" t="s">
        <v>122</v>
      </c>
      <c r="B2179" s="2">
        <v>813.6</v>
      </c>
      <c r="C2179" s="2" t="s">
        <v>9031</v>
      </c>
      <c r="D2179" s="2" t="s">
        <v>9030</v>
      </c>
      <c r="E2179" s="2" t="s">
        <v>8867</v>
      </c>
      <c r="F2179" s="3">
        <v>42627</v>
      </c>
      <c r="G2179" s="2" t="str">
        <f>"9781611176988"</f>
        <v>9781611176988</v>
      </c>
      <c r="H2179" s="2" t="s">
        <v>14</v>
      </c>
      <c r="I2179" s="4">
        <v>43223.950694444444</v>
      </c>
      <c r="J2179" s="2" t="s">
        <v>9032</v>
      </c>
    </row>
    <row r="2180" spans="1:10" ht="135" x14ac:dyDescent="0.25">
      <c r="A2180" s="2" t="s">
        <v>122</v>
      </c>
      <c r="B2180" s="2">
        <v>822.92099414999996</v>
      </c>
      <c r="C2180" s="2" t="s">
        <v>8868</v>
      </c>
      <c r="D2180" s="2" t="s">
        <v>8866</v>
      </c>
      <c r="E2180" s="2" t="s">
        <v>8867</v>
      </c>
      <c r="F2180" s="3">
        <v>42583</v>
      </c>
      <c r="G2180" s="2" t="str">
        <f>"9781611176636"</f>
        <v>9781611176636</v>
      </c>
      <c r="H2180" s="2" t="s">
        <v>14</v>
      </c>
      <c r="I2180" s="4">
        <v>43245.427083333336</v>
      </c>
      <c r="J2180" s="2" t="s">
        <v>8869</v>
      </c>
    </row>
    <row r="2181" spans="1:10" ht="135" x14ac:dyDescent="0.25">
      <c r="A2181" s="2" t="s">
        <v>122</v>
      </c>
      <c r="B2181" s="2">
        <v>833.91200000000003</v>
      </c>
      <c r="C2181" s="2" t="s">
        <v>9010</v>
      </c>
      <c r="D2181" s="2" t="s">
        <v>9009</v>
      </c>
      <c r="E2181" s="2" t="s">
        <v>8867</v>
      </c>
      <c r="F2181" s="3">
        <v>43115</v>
      </c>
      <c r="G2181" s="2" t="str">
        <f>"9781611178296"</f>
        <v>9781611178296</v>
      </c>
      <c r="H2181" s="2" t="s">
        <v>14</v>
      </c>
      <c r="I2181" s="4">
        <v>43227.525000000001</v>
      </c>
      <c r="J2181" s="2" t="s">
        <v>9011</v>
      </c>
    </row>
    <row r="2182" spans="1:10" ht="135" x14ac:dyDescent="0.25">
      <c r="A2182" s="2" t="s">
        <v>122</v>
      </c>
      <c r="B2182" s="2" t="s">
        <v>10824</v>
      </c>
      <c r="C2182" s="2" t="s">
        <v>10825</v>
      </c>
      <c r="D2182" s="2" t="s">
        <v>10823</v>
      </c>
      <c r="E2182" s="2" t="s">
        <v>8867</v>
      </c>
      <c r="F2182" s="3">
        <v>42628</v>
      </c>
      <c r="G2182" s="2" t="str">
        <f>"9781611176490"</f>
        <v>9781611176490</v>
      </c>
      <c r="H2182" s="2" t="s">
        <v>14</v>
      </c>
      <c r="I2182" s="4">
        <v>43033.620138888888</v>
      </c>
      <c r="J2182" s="2" t="s">
        <v>10826</v>
      </c>
    </row>
    <row r="2183" spans="1:10" ht="135" x14ac:dyDescent="0.25">
      <c r="A2183" s="2" t="s">
        <v>122</v>
      </c>
      <c r="B2183" s="2">
        <v>833.91399999999999</v>
      </c>
      <c r="C2183" s="2" t="s">
        <v>365</v>
      </c>
      <c r="D2183" s="2" t="s">
        <v>2584</v>
      </c>
      <c r="E2183" s="2" t="s">
        <v>101</v>
      </c>
      <c r="F2183" s="3">
        <v>42870</v>
      </c>
      <c r="G2183" s="2" t="str">
        <f>"9780810134829"</f>
        <v>9780810134829</v>
      </c>
      <c r="H2183" s="2" t="s">
        <v>14</v>
      </c>
      <c r="I2183" s="4">
        <v>43874.654166666667</v>
      </c>
      <c r="J2183" s="2" t="s">
        <v>2585</v>
      </c>
    </row>
    <row r="2184" spans="1:10" ht="135" x14ac:dyDescent="0.25">
      <c r="A2184" s="2" t="s">
        <v>122</v>
      </c>
      <c r="B2184" s="2" t="s">
        <v>2640</v>
      </c>
      <c r="C2184" s="2" t="s">
        <v>6762</v>
      </c>
      <c r="D2184" s="2" t="s">
        <v>6761</v>
      </c>
      <c r="E2184" s="2" t="s">
        <v>216</v>
      </c>
      <c r="F2184" s="3">
        <v>43101</v>
      </c>
      <c r="G2184" s="2" t="str">
        <f>"9781438468013"</f>
        <v>9781438468013</v>
      </c>
      <c r="H2184" s="2" t="s">
        <v>14</v>
      </c>
      <c r="I2184" s="4">
        <v>43488.979861111111</v>
      </c>
      <c r="J2184" s="2" t="s">
        <v>6763</v>
      </c>
    </row>
    <row r="2185" spans="1:10" ht="150" x14ac:dyDescent="0.25">
      <c r="A2185" s="2" t="s">
        <v>122</v>
      </c>
      <c r="B2185" s="2" t="s">
        <v>1133</v>
      </c>
      <c r="C2185" s="2" t="s">
        <v>1134</v>
      </c>
      <c r="D2185" s="2" t="s">
        <v>1132</v>
      </c>
      <c r="E2185" s="2" t="s">
        <v>216</v>
      </c>
      <c r="F2185" s="3">
        <v>43739</v>
      </c>
      <c r="G2185" s="2" t="str">
        <f>"9781438476476"</f>
        <v>9781438476476</v>
      </c>
      <c r="H2185" s="2" t="s">
        <v>14</v>
      </c>
      <c r="I2185" s="4">
        <v>43960.581250000003</v>
      </c>
      <c r="J2185" s="2" t="s">
        <v>1135</v>
      </c>
    </row>
    <row r="2186" spans="1:10" ht="150" x14ac:dyDescent="0.25">
      <c r="A2186" s="2" t="s">
        <v>122</v>
      </c>
      <c r="B2186" s="2">
        <v>810.93550000000005</v>
      </c>
      <c r="C2186" s="2" t="s">
        <v>2498</v>
      </c>
      <c r="D2186" s="2" t="s">
        <v>2497</v>
      </c>
      <c r="E2186" s="2" t="s">
        <v>33</v>
      </c>
      <c r="F2186" s="3">
        <v>43207</v>
      </c>
      <c r="G2186" s="2" t="str">
        <f>"9781613765708"</f>
        <v>9781613765708</v>
      </c>
      <c r="H2186" s="2" t="s">
        <v>14</v>
      </c>
      <c r="I2186" s="4">
        <v>43880.602777777778</v>
      </c>
      <c r="J2186" s="2" t="s">
        <v>2499</v>
      </c>
    </row>
    <row r="2187" spans="1:10" ht="150" x14ac:dyDescent="0.25">
      <c r="A2187" s="2" t="s">
        <v>122</v>
      </c>
      <c r="B2187" s="2">
        <v>828.91202999999996</v>
      </c>
      <c r="C2187" s="2" t="s">
        <v>8059</v>
      </c>
      <c r="D2187" s="2" t="s">
        <v>8058</v>
      </c>
      <c r="E2187" s="2" t="s">
        <v>130</v>
      </c>
      <c r="F2187" s="3">
        <v>43333</v>
      </c>
      <c r="G2187" s="2" t="str">
        <f>"9780813052366"</f>
        <v>9780813052366</v>
      </c>
      <c r="H2187" s="2" t="s">
        <v>14</v>
      </c>
      <c r="I2187" s="4">
        <v>43360.398611111108</v>
      </c>
      <c r="J2187" s="2" t="s">
        <v>8060</v>
      </c>
    </row>
    <row r="2188" spans="1:10" ht="135" x14ac:dyDescent="0.25">
      <c r="A2188" s="2" t="s">
        <v>122</v>
      </c>
      <c r="B2188" s="2">
        <v>810.90049999999997</v>
      </c>
      <c r="C2188" s="2" t="s">
        <v>4107</v>
      </c>
      <c r="D2188" s="2" t="s">
        <v>4179</v>
      </c>
      <c r="E2188" s="2" t="s">
        <v>260</v>
      </c>
      <c r="F2188" s="3">
        <v>43609</v>
      </c>
      <c r="G2188" s="2" t="str">
        <f>"9781439915080"</f>
        <v>9781439915080</v>
      </c>
      <c r="H2188" s="2" t="s">
        <v>14</v>
      </c>
      <c r="I2188" s="4">
        <v>43701.638194444444</v>
      </c>
      <c r="J2188" s="2" t="s">
        <v>4180</v>
      </c>
    </row>
    <row r="2189" spans="1:10" ht="135" x14ac:dyDescent="0.25">
      <c r="A2189" s="2" t="s">
        <v>122</v>
      </c>
      <c r="B2189" s="2">
        <v>833.91399999999999</v>
      </c>
      <c r="C2189" s="2" t="s">
        <v>365</v>
      </c>
      <c r="D2189" s="2" t="s">
        <v>364</v>
      </c>
      <c r="E2189" s="2" t="s">
        <v>101</v>
      </c>
      <c r="F2189" s="3">
        <v>43419</v>
      </c>
      <c r="G2189" s="2" t="str">
        <f>"9780810138117"</f>
        <v>9780810138117</v>
      </c>
      <c r="H2189" s="2" t="s">
        <v>14</v>
      </c>
      <c r="I2189" s="4">
        <v>44033.667361111111</v>
      </c>
      <c r="J2189" s="2" t="s">
        <v>366</v>
      </c>
    </row>
    <row r="2190" spans="1:10" ht="135" x14ac:dyDescent="0.25">
      <c r="A2190" s="2" t="s">
        <v>122</v>
      </c>
      <c r="B2190" s="2" t="s">
        <v>2633</v>
      </c>
      <c r="C2190" s="2" t="s">
        <v>2634</v>
      </c>
      <c r="D2190" s="2" t="s">
        <v>2632</v>
      </c>
      <c r="E2190" s="2" t="s">
        <v>578</v>
      </c>
      <c r="F2190" s="3">
        <v>42345</v>
      </c>
      <c r="G2190" s="2" t="str">
        <f>"9780252097850"</f>
        <v>9780252097850</v>
      </c>
      <c r="H2190" s="2" t="s">
        <v>14</v>
      </c>
      <c r="I2190" s="4">
        <v>43871.750694444447</v>
      </c>
      <c r="J2190" s="2" t="s">
        <v>2635</v>
      </c>
    </row>
    <row r="2191" spans="1:10" ht="135" x14ac:dyDescent="0.25">
      <c r="A2191" s="2" t="s">
        <v>122</v>
      </c>
      <c r="B2191" s="2" t="s">
        <v>6983</v>
      </c>
      <c r="C2191" s="2" t="s">
        <v>6984</v>
      </c>
      <c r="D2191" s="2" t="s">
        <v>6982</v>
      </c>
      <c r="E2191" s="2" t="s">
        <v>136</v>
      </c>
      <c r="F2191" s="3">
        <v>42125</v>
      </c>
      <c r="G2191" s="2" t="str">
        <f>"9781609383169"</f>
        <v>9781609383169</v>
      </c>
      <c r="H2191" s="2" t="s">
        <v>14</v>
      </c>
      <c r="I2191" s="4">
        <v>43469.397222222222</v>
      </c>
      <c r="J2191" s="2" t="s">
        <v>6985</v>
      </c>
    </row>
    <row r="2192" spans="1:10" ht="135" x14ac:dyDescent="0.25">
      <c r="A2192" s="2" t="s">
        <v>122</v>
      </c>
      <c r="B2192" s="2">
        <v>824.8</v>
      </c>
      <c r="C2192" s="2" t="s">
        <v>11400</v>
      </c>
      <c r="D2192" s="2" t="s">
        <v>11399</v>
      </c>
      <c r="E2192" s="2" t="s">
        <v>4660</v>
      </c>
      <c r="F2192" s="3">
        <v>41827</v>
      </c>
      <c r="G2192" s="2" t="str">
        <f>"9780813162577"</f>
        <v>9780813162577</v>
      </c>
      <c r="H2192" s="2" t="s">
        <v>14</v>
      </c>
      <c r="I2192" s="4">
        <v>42976.85833333333</v>
      </c>
      <c r="J2192" s="2" t="s">
        <v>11401</v>
      </c>
    </row>
    <row r="2193" spans="1:10" ht="135" x14ac:dyDescent="0.25">
      <c r="A2193" s="2" t="s">
        <v>122</v>
      </c>
      <c r="B2193" s="2">
        <v>809.3</v>
      </c>
      <c r="C2193" s="2" t="s">
        <v>9473</v>
      </c>
      <c r="D2193" s="2" t="s">
        <v>9472</v>
      </c>
      <c r="E2193" s="2" t="s">
        <v>69</v>
      </c>
      <c r="F2193" s="3">
        <v>42002</v>
      </c>
      <c r="G2193" s="2" t="str">
        <f>"9780253014122"</f>
        <v>9780253014122</v>
      </c>
      <c r="H2193" s="2" t="s">
        <v>14</v>
      </c>
      <c r="I2193" s="4">
        <v>43164.072916666664</v>
      </c>
      <c r="J2193" s="2" t="s">
        <v>9474</v>
      </c>
    </row>
    <row r="2194" spans="1:10" ht="165" x14ac:dyDescent="0.25">
      <c r="A2194" s="2" t="s">
        <v>122</v>
      </c>
      <c r="B2194" s="2" t="s">
        <v>4654</v>
      </c>
      <c r="C2194" s="2" t="s">
        <v>3638</v>
      </c>
      <c r="D2194" s="2" t="s">
        <v>4653</v>
      </c>
      <c r="E2194" s="2" t="s">
        <v>260</v>
      </c>
      <c r="F2194" s="3">
        <v>43469</v>
      </c>
      <c r="G2194" s="2" t="str">
        <f>"9781439902271"</f>
        <v>9781439902271</v>
      </c>
      <c r="H2194" s="2" t="s">
        <v>14</v>
      </c>
      <c r="I2194" s="4">
        <v>43641.388888888891</v>
      </c>
      <c r="J2194" s="2" t="s">
        <v>4655</v>
      </c>
    </row>
    <row r="2195" spans="1:10" ht="135" x14ac:dyDescent="0.25">
      <c r="A2195" s="2" t="s">
        <v>122</v>
      </c>
      <c r="B2195" s="2" t="s">
        <v>2835</v>
      </c>
      <c r="C2195" s="2" t="s">
        <v>8062</v>
      </c>
      <c r="D2195" s="2" t="s">
        <v>8061</v>
      </c>
      <c r="E2195" s="2" t="s">
        <v>136</v>
      </c>
      <c r="F2195" s="3">
        <v>43115</v>
      </c>
      <c r="G2195" s="2" t="str">
        <f>"9781609385323"</f>
        <v>9781609385323</v>
      </c>
      <c r="H2195" s="2" t="s">
        <v>14</v>
      </c>
      <c r="I2195" s="4">
        <v>43360.120833333334</v>
      </c>
      <c r="J2195" s="2" t="s">
        <v>8063</v>
      </c>
    </row>
    <row r="2196" spans="1:10" ht="150" x14ac:dyDescent="0.25">
      <c r="A2196" s="2" t="s">
        <v>122</v>
      </c>
      <c r="B2196" s="2" t="s">
        <v>3785</v>
      </c>
      <c r="C2196" s="2" t="s">
        <v>3786</v>
      </c>
      <c r="D2196" s="2" t="s">
        <v>3784</v>
      </c>
      <c r="E2196" s="2" t="s">
        <v>164</v>
      </c>
      <c r="F2196" s="3">
        <v>43449</v>
      </c>
      <c r="G2196" s="2" t="str">
        <f>"9780826359971"</f>
        <v>9780826359971</v>
      </c>
      <c r="H2196" s="2" t="s">
        <v>14</v>
      </c>
      <c r="I2196" s="4">
        <v>43755.059027777781</v>
      </c>
      <c r="J2196" s="2" t="s">
        <v>3787</v>
      </c>
    </row>
    <row r="2197" spans="1:10" ht="135" x14ac:dyDescent="0.25">
      <c r="A2197" s="2" t="s">
        <v>122</v>
      </c>
      <c r="B2197" s="2">
        <v>809.39354000000003</v>
      </c>
      <c r="C2197" s="2" t="s">
        <v>3826</v>
      </c>
      <c r="D2197" s="2" t="s">
        <v>3825</v>
      </c>
      <c r="E2197" s="2" t="s">
        <v>73</v>
      </c>
      <c r="F2197" s="3">
        <v>43228</v>
      </c>
      <c r="G2197" s="2" t="str">
        <f>"9781452956855"</f>
        <v>9781452956855</v>
      </c>
      <c r="H2197" s="2" t="s">
        <v>14</v>
      </c>
      <c r="I2197" s="4">
        <v>43752.453472222223</v>
      </c>
      <c r="J2197" s="2" t="s">
        <v>3827</v>
      </c>
    </row>
    <row r="2198" spans="1:10" ht="135" x14ac:dyDescent="0.25">
      <c r="A2198" s="2" t="s">
        <v>122</v>
      </c>
      <c r="B2198" s="2">
        <v>821.80938200000003</v>
      </c>
      <c r="C2198" s="2" t="s">
        <v>7824</v>
      </c>
      <c r="D2198" s="2" t="s">
        <v>7823</v>
      </c>
      <c r="E2198" s="2" t="s">
        <v>28</v>
      </c>
      <c r="F2198" s="3">
        <v>43102</v>
      </c>
      <c r="G2198" s="2" t="str">
        <f>"9780813940786"</f>
        <v>9780813940786</v>
      </c>
      <c r="H2198" s="2" t="s">
        <v>14</v>
      </c>
      <c r="I2198" s="4">
        <v>43387.503472222219</v>
      </c>
      <c r="J2198" s="2" t="s">
        <v>7825</v>
      </c>
    </row>
    <row r="2199" spans="1:10" ht="135" x14ac:dyDescent="0.25">
      <c r="A2199" s="2" t="s">
        <v>122</v>
      </c>
      <c r="B2199" s="2">
        <v>821.7</v>
      </c>
      <c r="C2199" s="2" t="s">
        <v>9194</v>
      </c>
      <c r="D2199" s="2" t="s">
        <v>9193</v>
      </c>
      <c r="E2199" s="2" t="s">
        <v>328</v>
      </c>
      <c r="F2199" s="3">
        <v>41319</v>
      </c>
      <c r="G2199" s="2" t="str">
        <f>"9780739177914"</f>
        <v>9780739177914</v>
      </c>
      <c r="H2199" s="2" t="s">
        <v>14</v>
      </c>
      <c r="I2199" s="4">
        <v>43201.499305555553</v>
      </c>
      <c r="J2199" s="2" t="s">
        <v>9195</v>
      </c>
    </row>
    <row r="2200" spans="1:10" ht="135" x14ac:dyDescent="0.25">
      <c r="A2200" s="2" t="s">
        <v>122</v>
      </c>
      <c r="B2200" s="2">
        <v>813.52</v>
      </c>
      <c r="C2200" s="2" t="s">
        <v>10144</v>
      </c>
      <c r="D2200" s="2" t="s">
        <v>10143</v>
      </c>
      <c r="E2200" s="2" t="s">
        <v>4660</v>
      </c>
      <c r="F2200" s="3">
        <v>41827</v>
      </c>
      <c r="G2200" s="2" t="str">
        <f>"9780813164908"</f>
        <v>9780813164908</v>
      </c>
      <c r="H2200" s="2" t="s">
        <v>14</v>
      </c>
      <c r="I2200" s="4">
        <v>43092.728472222225</v>
      </c>
      <c r="J2200" s="2" t="s">
        <v>10145</v>
      </c>
    </row>
    <row r="2201" spans="1:10" ht="135" x14ac:dyDescent="0.25">
      <c r="A2201" s="2" t="s">
        <v>122</v>
      </c>
      <c r="B2201" s="2" t="s">
        <v>137</v>
      </c>
      <c r="C2201" s="2" t="s">
        <v>3279</v>
      </c>
      <c r="D2201" s="2" t="s">
        <v>3278</v>
      </c>
      <c r="E2201" s="2" t="s">
        <v>69</v>
      </c>
      <c r="F2201" s="3">
        <v>43602</v>
      </c>
      <c r="G2201" s="2" t="str">
        <f>"9780253041364"</f>
        <v>9780253041364</v>
      </c>
      <c r="H2201" s="2" t="s">
        <v>14</v>
      </c>
      <c r="I2201" s="4">
        <v>43793.713194444441</v>
      </c>
      <c r="J2201" s="2" t="s">
        <v>3280</v>
      </c>
    </row>
    <row r="2202" spans="1:10" ht="135" x14ac:dyDescent="0.25">
      <c r="A2202" s="2" t="s">
        <v>122</v>
      </c>
      <c r="B2202" s="2" t="s">
        <v>634</v>
      </c>
      <c r="C2202" s="2" t="s">
        <v>635</v>
      </c>
      <c r="D2202" s="2" t="s">
        <v>633</v>
      </c>
      <c r="E2202" s="2" t="s">
        <v>121</v>
      </c>
      <c r="F2202" s="3">
        <v>43009</v>
      </c>
      <c r="G2202" s="2" t="str">
        <f>"9781609175450"</f>
        <v>9781609175450</v>
      </c>
      <c r="H2202" s="2" t="s">
        <v>14</v>
      </c>
      <c r="I2202" s="4">
        <v>44005.822222222225</v>
      </c>
      <c r="J2202" s="2" t="s">
        <v>636</v>
      </c>
    </row>
    <row r="2203" spans="1:10" ht="135" x14ac:dyDescent="0.25">
      <c r="A2203" s="2" t="s">
        <v>122</v>
      </c>
      <c r="B2203" s="2">
        <v>821.4</v>
      </c>
      <c r="C2203" s="2" t="s">
        <v>11816</v>
      </c>
      <c r="D2203" s="2" t="s">
        <v>11815</v>
      </c>
      <c r="E2203" s="2" t="s">
        <v>4660</v>
      </c>
      <c r="F2203" s="3">
        <v>41827</v>
      </c>
      <c r="G2203" s="2" t="str">
        <f>"9780813164649"</f>
        <v>9780813164649</v>
      </c>
      <c r="H2203" s="2" t="s">
        <v>14</v>
      </c>
      <c r="I2203" s="4">
        <v>42887.444444444445</v>
      </c>
      <c r="J2203" s="2" t="s">
        <v>11817</v>
      </c>
    </row>
    <row r="2204" spans="1:10" ht="135" x14ac:dyDescent="0.25">
      <c r="A2204" s="2" t="s">
        <v>122</v>
      </c>
      <c r="B2204" s="2" t="s">
        <v>2644</v>
      </c>
      <c r="C2204" s="2" t="s">
        <v>2645</v>
      </c>
      <c r="D2204" s="2" t="s">
        <v>2643</v>
      </c>
      <c r="E2204" s="2" t="s">
        <v>460</v>
      </c>
      <c r="F2204" s="3">
        <v>42887</v>
      </c>
      <c r="G2204" s="2" t="str">
        <f>"9780773550308"</f>
        <v>9780773550308</v>
      </c>
      <c r="H2204" s="2" t="s">
        <v>14</v>
      </c>
      <c r="I2204" s="4">
        <v>43870.775694444441</v>
      </c>
      <c r="J2204" s="2" t="s">
        <v>2646</v>
      </c>
    </row>
    <row r="2205" spans="1:10" ht="135" x14ac:dyDescent="0.25">
      <c r="A2205" s="2" t="s">
        <v>122</v>
      </c>
      <c r="B2205" s="2">
        <v>809.3</v>
      </c>
      <c r="C2205" s="2" t="s">
        <v>2965</v>
      </c>
      <c r="D2205" s="2" t="s">
        <v>2964</v>
      </c>
      <c r="E2205" s="2" t="s">
        <v>28</v>
      </c>
      <c r="F2205" s="3">
        <v>43700</v>
      </c>
      <c r="G2205" s="2" t="str">
        <f>"9780813942858"</f>
        <v>9780813942858</v>
      </c>
      <c r="H2205" s="2" t="s">
        <v>14</v>
      </c>
      <c r="I2205" s="4">
        <v>43838.480555555558</v>
      </c>
      <c r="J2205" s="2" t="s">
        <v>2966</v>
      </c>
    </row>
    <row r="2206" spans="1:10" ht="135" x14ac:dyDescent="0.25">
      <c r="A2206" s="2" t="s">
        <v>122</v>
      </c>
      <c r="B2206" s="2" t="s">
        <v>4642</v>
      </c>
      <c r="C2206" s="2" t="s">
        <v>4643</v>
      </c>
      <c r="D2206" s="2" t="s">
        <v>4641</v>
      </c>
      <c r="E2206" s="2" t="s">
        <v>28</v>
      </c>
      <c r="F2206" s="3">
        <v>43433</v>
      </c>
      <c r="G2206" s="2" t="str">
        <f>"9780813942063"</f>
        <v>9780813942063</v>
      </c>
      <c r="H2206" s="2" t="s">
        <v>14</v>
      </c>
      <c r="I2206" s="4">
        <v>43643.822916666664</v>
      </c>
      <c r="J2206" s="2" t="s">
        <v>4644</v>
      </c>
    </row>
    <row r="2207" spans="1:10" ht="135" x14ac:dyDescent="0.25">
      <c r="A2207" s="2" t="s">
        <v>122</v>
      </c>
      <c r="C2207" s="2" t="s">
        <v>2792</v>
      </c>
      <c r="D2207" s="2" t="s">
        <v>2791</v>
      </c>
      <c r="E2207" s="2" t="s">
        <v>130</v>
      </c>
      <c r="F2207" s="3">
        <v>43858</v>
      </c>
      <c r="G2207" s="2" t="str">
        <f>"9780813057309"</f>
        <v>9780813057309</v>
      </c>
      <c r="H2207" s="2" t="s">
        <v>14</v>
      </c>
      <c r="I2207" s="4">
        <v>43854.634027777778</v>
      </c>
      <c r="J2207" s="2" t="s">
        <v>2793</v>
      </c>
    </row>
    <row r="2208" spans="1:10" ht="150" x14ac:dyDescent="0.25">
      <c r="A2208" s="2" t="s">
        <v>122</v>
      </c>
      <c r="B2208" s="2">
        <v>823.2</v>
      </c>
      <c r="C2208" s="2" t="s">
        <v>619</v>
      </c>
      <c r="D2208" s="2" t="s">
        <v>7593</v>
      </c>
      <c r="E2208" s="2" t="s">
        <v>37</v>
      </c>
      <c r="F2208" s="3">
        <v>42656</v>
      </c>
      <c r="G2208" s="2" t="str">
        <f>"9783319342047"</f>
        <v>9783319342047</v>
      </c>
      <c r="H2208" s="2" t="s">
        <v>14</v>
      </c>
      <c r="I2208" s="4">
        <v>43406.618055555555</v>
      </c>
      <c r="J2208" s="2" t="s">
        <v>7594</v>
      </c>
    </row>
    <row r="2209" spans="1:10" ht="135" x14ac:dyDescent="0.25">
      <c r="A2209" s="2" t="s">
        <v>122</v>
      </c>
      <c r="B2209" s="2" t="s">
        <v>1499</v>
      </c>
      <c r="C2209" s="2" t="s">
        <v>1500</v>
      </c>
      <c r="D2209" s="2" t="s">
        <v>1498</v>
      </c>
      <c r="E2209" s="2" t="s">
        <v>73</v>
      </c>
      <c r="F2209" s="3">
        <v>42491</v>
      </c>
      <c r="G2209" s="2" t="str">
        <f>"9781452950044"</f>
        <v>9781452950044</v>
      </c>
      <c r="H2209" s="2" t="s">
        <v>14</v>
      </c>
      <c r="I2209" s="4">
        <v>43941.447222222225</v>
      </c>
      <c r="J2209" s="2" t="s">
        <v>1501</v>
      </c>
    </row>
    <row r="2210" spans="1:10" ht="135" x14ac:dyDescent="0.25">
      <c r="A2210" s="2" t="s">
        <v>122</v>
      </c>
      <c r="B2210" s="2">
        <v>820.900409287</v>
      </c>
      <c r="C2210" s="2" t="s">
        <v>3972</v>
      </c>
      <c r="D2210" s="2" t="s">
        <v>3971</v>
      </c>
      <c r="E2210" s="2" t="s">
        <v>46</v>
      </c>
      <c r="F2210" s="3">
        <v>43617</v>
      </c>
      <c r="G2210" s="2" t="str">
        <f>"9781496214263"</f>
        <v>9781496214263</v>
      </c>
      <c r="H2210" s="2" t="s">
        <v>14</v>
      </c>
      <c r="I2210" s="4">
        <v>43734.723611111112</v>
      </c>
      <c r="J2210" s="2" t="s">
        <v>3973</v>
      </c>
    </row>
    <row r="2211" spans="1:10" ht="135" x14ac:dyDescent="0.25">
      <c r="A2211" s="2" t="s">
        <v>122</v>
      </c>
      <c r="B2211" s="2" t="s">
        <v>7821</v>
      </c>
      <c r="C2211" s="2" t="s">
        <v>4107</v>
      </c>
      <c r="D2211" s="2" t="s">
        <v>7820</v>
      </c>
      <c r="E2211" s="2" t="s">
        <v>136</v>
      </c>
      <c r="F2211" s="3">
        <v>42292</v>
      </c>
      <c r="G2211" s="2" t="str">
        <f>"9781609383725"</f>
        <v>9781609383725</v>
      </c>
      <c r="H2211" s="2" t="s">
        <v>14</v>
      </c>
      <c r="I2211" s="4">
        <v>43387.575694444444</v>
      </c>
      <c r="J2211" s="2" t="s">
        <v>7822</v>
      </c>
    </row>
    <row r="2212" spans="1:10" ht="135" x14ac:dyDescent="0.25">
      <c r="A2212" s="2" t="s">
        <v>122</v>
      </c>
      <c r="B2212" s="2">
        <v>823.91209358100002</v>
      </c>
      <c r="C2212" s="2" t="s">
        <v>6112</v>
      </c>
      <c r="D2212" s="2" t="s">
        <v>6111</v>
      </c>
      <c r="E2212" s="2" t="s">
        <v>101</v>
      </c>
      <c r="F2212" s="3">
        <v>42870</v>
      </c>
      <c r="G2212" s="2" t="str">
        <f>"9780810135000"</f>
        <v>9780810135000</v>
      </c>
      <c r="H2212" s="2" t="s">
        <v>14</v>
      </c>
      <c r="I2212" s="4">
        <v>43539.447916666664</v>
      </c>
      <c r="J2212" s="2" t="s">
        <v>6113</v>
      </c>
    </row>
    <row r="2213" spans="1:10" ht="180" x14ac:dyDescent="0.25">
      <c r="A2213" s="2" t="s">
        <v>122</v>
      </c>
      <c r="B2213" s="2">
        <v>810.9</v>
      </c>
      <c r="C2213" s="2" t="s">
        <v>9022</v>
      </c>
      <c r="D2213" s="2" t="s">
        <v>9020</v>
      </c>
      <c r="E2213" s="2" t="s">
        <v>9021</v>
      </c>
      <c r="F2213" s="3">
        <v>42319</v>
      </c>
      <c r="G2213" s="2" t="str">
        <f>"9780813576008"</f>
        <v>9780813576008</v>
      </c>
      <c r="H2213" s="2" t="s">
        <v>14</v>
      </c>
      <c r="I2213" s="4">
        <v>43224.434027777781</v>
      </c>
      <c r="J2213" s="2" t="s">
        <v>9023</v>
      </c>
    </row>
    <row r="2214" spans="1:10" ht="135" x14ac:dyDescent="0.25">
      <c r="A2214" s="2" t="s">
        <v>122</v>
      </c>
      <c r="B2214" s="2">
        <v>820.80967999999905</v>
      </c>
      <c r="C2214" s="2" t="s">
        <v>10443</v>
      </c>
      <c r="D2214" s="2" t="s">
        <v>10442</v>
      </c>
      <c r="E2214" s="2" t="s">
        <v>3950</v>
      </c>
      <c r="F2214" s="3">
        <v>42475</v>
      </c>
      <c r="G2214" s="2" t="str">
        <f>"9781869143367"</f>
        <v>9781869143367</v>
      </c>
      <c r="H2214" s="2" t="s">
        <v>14</v>
      </c>
      <c r="I2214" s="4">
        <v>43057.770833333336</v>
      </c>
      <c r="J2214" s="2" t="s">
        <v>10444</v>
      </c>
    </row>
    <row r="2215" spans="1:10" ht="135" x14ac:dyDescent="0.25">
      <c r="A2215" s="2" t="s">
        <v>122</v>
      </c>
      <c r="B2215" s="2">
        <v>820.93242099999998</v>
      </c>
      <c r="C2215" s="2" t="s">
        <v>619</v>
      </c>
      <c r="D2215" s="2" t="s">
        <v>1569</v>
      </c>
      <c r="E2215" s="2" t="s">
        <v>17</v>
      </c>
      <c r="F2215" s="3">
        <v>39275</v>
      </c>
      <c r="G2215" s="2" t="str">
        <f>"9780230591943"</f>
        <v>9780230591943</v>
      </c>
      <c r="H2215" s="2" t="s">
        <v>14</v>
      </c>
      <c r="I2215" s="4">
        <v>43937.440972222219</v>
      </c>
      <c r="J2215" s="2" t="s">
        <v>1570</v>
      </c>
    </row>
    <row r="2216" spans="1:10" ht="135" x14ac:dyDescent="0.25">
      <c r="A2216" s="2" t="s">
        <v>122</v>
      </c>
      <c r="B2216" s="2" t="s">
        <v>8046</v>
      </c>
      <c r="C2216" s="2" t="s">
        <v>8047</v>
      </c>
      <c r="D2216" s="2" t="s">
        <v>8045</v>
      </c>
      <c r="E2216" s="2" t="s">
        <v>136</v>
      </c>
      <c r="F2216" s="3">
        <v>42917</v>
      </c>
      <c r="G2216" s="2" t="str">
        <f>"9781609384814"</f>
        <v>9781609384814</v>
      </c>
      <c r="H2216" s="2" t="s">
        <v>14</v>
      </c>
      <c r="I2216" s="4">
        <v>43361.462500000001</v>
      </c>
      <c r="J2216" s="2" t="s">
        <v>8048</v>
      </c>
    </row>
    <row r="2217" spans="1:10" ht="135" x14ac:dyDescent="0.25">
      <c r="A2217" s="2" t="s">
        <v>122</v>
      </c>
      <c r="B2217" s="2" t="s">
        <v>137</v>
      </c>
      <c r="C2217" s="2" t="s">
        <v>138</v>
      </c>
      <c r="D2217" s="2" t="s">
        <v>135</v>
      </c>
      <c r="E2217" s="2" t="s">
        <v>136</v>
      </c>
      <c r="F2217" s="3">
        <v>43983</v>
      </c>
      <c r="G2217" s="2" t="str">
        <f>"9781609386924"</f>
        <v>9781609386924</v>
      </c>
      <c r="H2217" s="2" t="s">
        <v>14</v>
      </c>
      <c r="I2217" s="4">
        <v>44069.648611111108</v>
      </c>
      <c r="J2217" s="2" t="s">
        <v>139</v>
      </c>
    </row>
    <row r="2218" spans="1:10" ht="135" x14ac:dyDescent="0.25">
      <c r="A2218" s="2" t="s">
        <v>122</v>
      </c>
      <c r="B2218" s="2" t="s">
        <v>10537</v>
      </c>
      <c r="C2218" s="2" t="s">
        <v>10538</v>
      </c>
      <c r="D2218" s="2" t="s">
        <v>10536</v>
      </c>
      <c r="E2218" s="2" t="s">
        <v>390</v>
      </c>
      <c r="F2218" s="3">
        <v>41897</v>
      </c>
      <c r="G2218" s="2" t="str">
        <f>"9780268081768"</f>
        <v>9780268081768</v>
      </c>
      <c r="H2218" s="2" t="s">
        <v>14</v>
      </c>
      <c r="I2218" s="4">
        <v>43050.383333333331</v>
      </c>
      <c r="J2218" s="2" t="s">
        <v>10539</v>
      </c>
    </row>
    <row r="2219" spans="1:10" ht="180" x14ac:dyDescent="0.25">
      <c r="A2219" s="2" t="s">
        <v>122</v>
      </c>
      <c r="B2219" s="2" t="s">
        <v>3491</v>
      </c>
      <c r="C2219" s="2" t="s">
        <v>3492</v>
      </c>
      <c r="D2219" s="2" t="s">
        <v>3490</v>
      </c>
      <c r="E2219" s="2" t="s">
        <v>41</v>
      </c>
      <c r="F2219" s="3">
        <v>42682</v>
      </c>
      <c r="G2219" s="2" t="str">
        <f>"9780817390235"</f>
        <v>9780817390235</v>
      </c>
      <c r="H2219" s="2" t="s">
        <v>14</v>
      </c>
      <c r="I2219" s="4">
        <v>43779.827777777777</v>
      </c>
      <c r="J2219" s="2" t="s">
        <v>3493</v>
      </c>
    </row>
    <row r="2220" spans="1:10" ht="135" x14ac:dyDescent="0.25">
      <c r="A2220" s="2" t="s">
        <v>11057</v>
      </c>
      <c r="B2220" s="2">
        <v>820.93552999999997</v>
      </c>
      <c r="C2220" s="2" t="s">
        <v>11058</v>
      </c>
      <c r="D2220" s="2" t="s">
        <v>11056</v>
      </c>
      <c r="E2220" s="2" t="s">
        <v>54</v>
      </c>
      <c r="F2220" s="3">
        <v>42697</v>
      </c>
      <c r="G2220" s="2" t="str">
        <f>"9781503600690"</f>
        <v>9781503600690</v>
      </c>
      <c r="H2220" s="2" t="s">
        <v>14</v>
      </c>
      <c r="I2220" s="4">
        <v>43020.604166666664</v>
      </c>
      <c r="J2220" s="2" t="s">
        <v>11059</v>
      </c>
    </row>
    <row r="2221" spans="1:10" ht="135" x14ac:dyDescent="0.25">
      <c r="A2221" s="2" t="s">
        <v>2294</v>
      </c>
      <c r="B2221" s="2">
        <v>808.54300000000001</v>
      </c>
      <c r="C2221" s="2" t="s">
        <v>2295</v>
      </c>
      <c r="D2221" s="2" t="s">
        <v>2293</v>
      </c>
      <c r="E2221" s="2" t="s">
        <v>23</v>
      </c>
      <c r="F2221" s="3">
        <v>43633</v>
      </c>
      <c r="G2221" s="2" t="str">
        <f>"9780814346006"</f>
        <v>9780814346006</v>
      </c>
      <c r="H2221" s="2" t="s">
        <v>14</v>
      </c>
      <c r="I2221" s="4">
        <v>43895.432638888888</v>
      </c>
      <c r="J2221" s="2" t="s">
        <v>2296</v>
      </c>
    </row>
    <row r="2222" spans="1:10" ht="135" x14ac:dyDescent="0.25">
      <c r="A2222" s="2" t="s">
        <v>888</v>
      </c>
      <c r="B2222" s="2">
        <v>812.6</v>
      </c>
      <c r="C2222" s="2" t="s">
        <v>10415</v>
      </c>
      <c r="D2222" s="2" t="s">
        <v>10413</v>
      </c>
      <c r="E2222" s="2" t="s">
        <v>10414</v>
      </c>
      <c r="F2222" s="3">
        <v>41233</v>
      </c>
      <c r="G2222" s="2" t="str">
        <f>"9781559367233"</f>
        <v>9781559367233</v>
      </c>
      <c r="H2222" s="2" t="s">
        <v>14</v>
      </c>
      <c r="I2222" s="4">
        <v>43059.143055555556</v>
      </c>
      <c r="J2222" s="2" t="s">
        <v>10416</v>
      </c>
    </row>
    <row r="2223" spans="1:10" ht="135" x14ac:dyDescent="0.25">
      <c r="A2223" s="2" t="s">
        <v>888</v>
      </c>
      <c r="B2223" s="2" t="s">
        <v>1418</v>
      </c>
      <c r="C2223" s="2" t="s">
        <v>1419</v>
      </c>
      <c r="D2223" s="2" t="s">
        <v>1416</v>
      </c>
      <c r="E2223" s="2" t="s">
        <v>1417</v>
      </c>
      <c r="F2223" s="3">
        <v>42090</v>
      </c>
      <c r="G2223" s="2" t="str">
        <f>"9781783196500"</f>
        <v>9781783196500</v>
      </c>
      <c r="H2223" s="2" t="s">
        <v>14</v>
      </c>
      <c r="I2223" s="4">
        <v>43944.586805555555</v>
      </c>
      <c r="J2223" s="2" t="s">
        <v>1420</v>
      </c>
    </row>
    <row r="2224" spans="1:10" ht="135" x14ac:dyDescent="0.25">
      <c r="A2224" s="2" t="s">
        <v>888</v>
      </c>
      <c r="B2224" s="2">
        <v>813.6</v>
      </c>
      <c r="C2224" s="2" t="s">
        <v>619</v>
      </c>
      <c r="D2224" s="2" t="s">
        <v>6807</v>
      </c>
      <c r="E2224" s="2" t="s">
        <v>37</v>
      </c>
      <c r="F2224" s="3">
        <v>42825</v>
      </c>
      <c r="G2224" s="2" t="str">
        <f>"9783319499321"</f>
        <v>9783319499321</v>
      </c>
      <c r="H2224" s="2" t="s">
        <v>14</v>
      </c>
      <c r="I2224" s="4">
        <v>43484.708333333336</v>
      </c>
      <c r="J2224" s="2" t="s">
        <v>6808</v>
      </c>
    </row>
    <row r="2225" spans="1:10" ht="135" x14ac:dyDescent="0.25">
      <c r="A2225" s="2" t="s">
        <v>888</v>
      </c>
      <c r="B2225" s="2">
        <v>812.52</v>
      </c>
      <c r="C2225" s="2" t="s">
        <v>889</v>
      </c>
      <c r="D2225" s="2" t="s">
        <v>886</v>
      </c>
      <c r="E2225" s="2" t="s">
        <v>887</v>
      </c>
      <c r="F2225" s="3">
        <v>42528</v>
      </c>
      <c r="G2225" s="2" t="str">
        <f>"9781788500586"</f>
        <v>9781788500586</v>
      </c>
      <c r="H2225" s="2" t="s">
        <v>14</v>
      </c>
      <c r="I2225" s="4">
        <v>43977.317361111112</v>
      </c>
      <c r="J2225" s="2" t="s">
        <v>890</v>
      </c>
    </row>
    <row r="2226" spans="1:10" ht="135" x14ac:dyDescent="0.25">
      <c r="A2226" s="2" t="s">
        <v>888</v>
      </c>
      <c r="B2226" s="2">
        <v>809.38760000000002</v>
      </c>
      <c r="C2226" s="2" t="s">
        <v>12454</v>
      </c>
      <c r="D2226" s="2" t="s">
        <v>12453</v>
      </c>
      <c r="E2226" s="2" t="s">
        <v>80</v>
      </c>
      <c r="F2226" s="3">
        <v>42461</v>
      </c>
      <c r="G2226" s="2" t="str">
        <f>"9783035307351"</f>
        <v>9783035307351</v>
      </c>
      <c r="H2226" s="2" t="s">
        <v>14</v>
      </c>
      <c r="I2226" s="4">
        <v>42804.76458333333</v>
      </c>
      <c r="J2226" s="2" t="s">
        <v>12455</v>
      </c>
    </row>
    <row r="2227" spans="1:10" ht="135" x14ac:dyDescent="0.25">
      <c r="A2227" s="2" t="s">
        <v>888</v>
      </c>
      <c r="B2227" s="2">
        <v>843.91200000000003</v>
      </c>
      <c r="C2227" s="2" t="s">
        <v>619</v>
      </c>
      <c r="D2227" s="2" t="s">
        <v>9028</v>
      </c>
      <c r="E2227" s="2" t="s">
        <v>37</v>
      </c>
      <c r="F2227" s="3">
        <v>42804</v>
      </c>
      <c r="G2227" s="2" t="str">
        <f>"9783319476414"</f>
        <v>9783319476414</v>
      </c>
      <c r="H2227" s="2" t="s">
        <v>14</v>
      </c>
      <c r="I2227" s="4">
        <v>43224.274305555555</v>
      </c>
      <c r="J2227" s="2" t="s">
        <v>9029</v>
      </c>
    </row>
    <row r="2228" spans="1:10" ht="135" x14ac:dyDescent="0.25">
      <c r="A2228" s="2" t="s">
        <v>888</v>
      </c>
      <c r="B2228" s="2">
        <v>843</v>
      </c>
      <c r="C2228" s="2" t="s">
        <v>12323</v>
      </c>
      <c r="D2228" s="2" t="s">
        <v>12322</v>
      </c>
      <c r="E2228" s="2" t="s">
        <v>80</v>
      </c>
      <c r="F2228" s="3">
        <v>42461</v>
      </c>
      <c r="G2228" s="2" t="str">
        <f>"9783035308112"</f>
        <v>9783035308112</v>
      </c>
      <c r="H2228" s="2" t="s">
        <v>14</v>
      </c>
      <c r="I2228" s="4">
        <v>42815.93472222222</v>
      </c>
      <c r="J2228" s="2" t="s">
        <v>12324</v>
      </c>
    </row>
    <row r="2229" spans="1:10" ht="135" x14ac:dyDescent="0.25">
      <c r="A2229" s="2" t="s">
        <v>888</v>
      </c>
      <c r="B2229" s="2">
        <v>823.91399999999999</v>
      </c>
      <c r="C2229" s="2" t="s">
        <v>619</v>
      </c>
      <c r="D2229" s="2" t="s">
        <v>2204</v>
      </c>
      <c r="E2229" s="2" t="s">
        <v>37</v>
      </c>
      <c r="F2229" s="3">
        <v>43052</v>
      </c>
      <c r="G2229" s="2" t="str">
        <f>"9783319664118"</f>
        <v>9783319664118</v>
      </c>
      <c r="H2229" s="2" t="s">
        <v>14</v>
      </c>
      <c r="I2229" s="4">
        <v>43902.336805555555</v>
      </c>
      <c r="J2229" s="2" t="s">
        <v>2205</v>
      </c>
    </row>
    <row r="2230" spans="1:10" ht="135" x14ac:dyDescent="0.25">
      <c r="A2230" s="2" t="s">
        <v>1832</v>
      </c>
      <c r="B2230" s="2" t="s">
        <v>1833</v>
      </c>
      <c r="C2230" s="2" t="s">
        <v>619</v>
      </c>
      <c r="D2230" s="2" t="s">
        <v>1831</v>
      </c>
      <c r="E2230" s="2" t="s">
        <v>17</v>
      </c>
      <c r="F2230" s="3">
        <v>40725</v>
      </c>
      <c r="G2230" s="2" t="str">
        <f>"9780230306387"</f>
        <v>9780230306387</v>
      </c>
      <c r="H2230" s="2" t="s">
        <v>14</v>
      </c>
      <c r="I2230" s="4">
        <v>43924.694444444445</v>
      </c>
      <c r="J2230" s="2" t="s">
        <v>1834</v>
      </c>
    </row>
    <row r="2231" spans="1:10" ht="135" x14ac:dyDescent="0.25">
      <c r="A2231" s="2" t="s">
        <v>1832</v>
      </c>
      <c r="B2231" s="2">
        <v>792.09460820000004</v>
      </c>
      <c r="C2231" s="2" t="s">
        <v>12222</v>
      </c>
      <c r="D2231" s="2" t="s">
        <v>12221</v>
      </c>
      <c r="E2231" s="2" t="s">
        <v>1412</v>
      </c>
      <c r="F2231" s="3">
        <v>41871</v>
      </c>
      <c r="G2231" s="2" t="str">
        <f>"9781611486117"</f>
        <v>9781611486117</v>
      </c>
      <c r="H2231" s="2" t="s">
        <v>14</v>
      </c>
      <c r="I2231" s="4">
        <v>42829.367361111108</v>
      </c>
      <c r="J2231" s="2" t="s">
        <v>12223</v>
      </c>
    </row>
    <row r="2232" spans="1:10" ht="135" x14ac:dyDescent="0.25">
      <c r="A2232" s="2" t="s">
        <v>1832</v>
      </c>
      <c r="B2232" s="2">
        <v>700.41499999999996</v>
      </c>
      <c r="C2232" s="2" t="s">
        <v>2806</v>
      </c>
      <c r="D2232" s="2" t="s">
        <v>2805</v>
      </c>
      <c r="E2232" s="2" t="s">
        <v>164</v>
      </c>
      <c r="F2232" s="3">
        <v>43600</v>
      </c>
      <c r="G2232" s="2" t="str">
        <f>"9780826360458"</f>
        <v>9780826360458</v>
      </c>
      <c r="H2232" s="2" t="s">
        <v>14</v>
      </c>
      <c r="I2232" s="4">
        <v>43852.616666666669</v>
      </c>
      <c r="J2232" s="2" t="s">
        <v>2807</v>
      </c>
    </row>
    <row r="2233" spans="1:10" ht="135" x14ac:dyDescent="0.25">
      <c r="A2233" s="2" t="s">
        <v>1832</v>
      </c>
      <c r="B2233" s="2">
        <v>791.09870000000001</v>
      </c>
      <c r="C2233" s="2" t="s">
        <v>966</v>
      </c>
      <c r="D2233" s="2" t="s">
        <v>3619</v>
      </c>
      <c r="E2233" s="2" t="s">
        <v>101</v>
      </c>
      <c r="F2233" s="3">
        <v>43174</v>
      </c>
      <c r="G2233" s="2" t="str">
        <f>"9780810136755"</f>
        <v>9780810136755</v>
      </c>
      <c r="H2233" s="2" t="s">
        <v>14</v>
      </c>
      <c r="I2233" s="4">
        <v>43770.727777777778</v>
      </c>
      <c r="J2233" s="2" t="s">
        <v>3620</v>
      </c>
    </row>
    <row r="2234" spans="1:10" ht="135" x14ac:dyDescent="0.25">
      <c r="A2234" s="2" t="s">
        <v>1832</v>
      </c>
      <c r="B2234" s="2" t="s">
        <v>12492</v>
      </c>
      <c r="C2234" s="2" t="s">
        <v>12493</v>
      </c>
      <c r="D2234" s="2" t="s">
        <v>12491</v>
      </c>
      <c r="E2234" s="2" t="s">
        <v>526</v>
      </c>
      <c r="F2234" s="3">
        <v>41699</v>
      </c>
      <c r="G2234" s="2" t="str">
        <f>"9780292756922"</f>
        <v>9780292756922</v>
      </c>
      <c r="H2234" s="2" t="s">
        <v>14</v>
      </c>
      <c r="I2234" s="4">
        <v>42801.650694444441</v>
      </c>
      <c r="J2234" s="2" t="s">
        <v>12494</v>
      </c>
    </row>
    <row r="2235" spans="1:10" ht="150" x14ac:dyDescent="0.25">
      <c r="A2235" s="2" t="s">
        <v>1832</v>
      </c>
      <c r="B2235" s="2">
        <v>741.59</v>
      </c>
      <c r="C2235" s="2" t="s">
        <v>7648</v>
      </c>
      <c r="D2235" s="2" t="s">
        <v>7647</v>
      </c>
      <c r="E2235" s="2" t="s">
        <v>322</v>
      </c>
      <c r="F2235" s="3">
        <v>43191</v>
      </c>
      <c r="G2235" s="2" t="str">
        <f>"9780820352022"</f>
        <v>9780820352022</v>
      </c>
      <c r="H2235" s="2" t="s">
        <v>14</v>
      </c>
      <c r="I2235" s="4">
        <v>43402.78125</v>
      </c>
      <c r="J2235" s="2" t="s">
        <v>7649</v>
      </c>
    </row>
    <row r="2236" spans="1:10" ht="135" x14ac:dyDescent="0.25">
      <c r="A2236" s="2" t="s">
        <v>1832</v>
      </c>
      <c r="B2236" s="2" t="s">
        <v>11080</v>
      </c>
      <c r="C2236" s="2" t="s">
        <v>11081</v>
      </c>
      <c r="D2236" s="2" t="s">
        <v>11079</v>
      </c>
      <c r="E2236" s="2" t="s">
        <v>180</v>
      </c>
      <c r="F2236" s="3">
        <v>42391</v>
      </c>
      <c r="G2236" s="2" t="str">
        <f>"9781479840021"</f>
        <v>9781479840021</v>
      </c>
      <c r="H2236" s="2" t="s">
        <v>14</v>
      </c>
      <c r="I2236" s="4">
        <v>43018.823611111111</v>
      </c>
      <c r="J2236" s="2" t="s">
        <v>11082</v>
      </c>
    </row>
    <row r="2237" spans="1:10" ht="135" x14ac:dyDescent="0.25">
      <c r="A2237" s="2" t="s">
        <v>1832</v>
      </c>
      <c r="B2237" s="2">
        <v>852.40899999999999</v>
      </c>
      <c r="C2237" s="2" t="s">
        <v>5983</v>
      </c>
      <c r="D2237" s="2" t="s">
        <v>5982</v>
      </c>
      <c r="E2237" s="2" t="s">
        <v>846</v>
      </c>
      <c r="F2237" s="3">
        <v>42088</v>
      </c>
      <c r="G2237" s="2" t="str">
        <f>"9781442619487"</f>
        <v>9781442619487</v>
      </c>
      <c r="H2237" s="2" t="s">
        <v>14</v>
      </c>
      <c r="I2237" s="4">
        <v>43551.70416666667</v>
      </c>
      <c r="J2237" s="2" t="s">
        <v>5984</v>
      </c>
    </row>
    <row r="2238" spans="1:10" ht="135" x14ac:dyDescent="0.25">
      <c r="A2238" s="2" t="s">
        <v>1832</v>
      </c>
      <c r="B2238" s="2" t="s">
        <v>12704</v>
      </c>
      <c r="C2238" s="2" t="s">
        <v>12705</v>
      </c>
      <c r="D2238" s="2" t="s">
        <v>12703</v>
      </c>
      <c r="E2238" s="2" t="s">
        <v>23</v>
      </c>
      <c r="F2238" s="3">
        <v>38353</v>
      </c>
      <c r="G2238" s="2" t="str">
        <f>"9780814337370"</f>
        <v>9780814337370</v>
      </c>
      <c r="H2238" s="2" t="s">
        <v>14</v>
      </c>
      <c r="I2238" s="4">
        <v>42781.475694444445</v>
      </c>
      <c r="J2238" s="2" t="s">
        <v>12706</v>
      </c>
    </row>
    <row r="2239" spans="1:10" ht="135" x14ac:dyDescent="0.25">
      <c r="A2239" s="2" t="s">
        <v>4956</v>
      </c>
      <c r="B2239" s="2">
        <v>822.3</v>
      </c>
      <c r="C2239" s="2" t="s">
        <v>4957</v>
      </c>
      <c r="D2239" s="2" t="s">
        <v>4955</v>
      </c>
      <c r="E2239" s="2" t="s">
        <v>3481</v>
      </c>
      <c r="F2239" s="3">
        <v>42055</v>
      </c>
      <c r="G2239" s="2" t="str">
        <f>"9781775587811"</f>
        <v>9781775587811</v>
      </c>
      <c r="H2239" s="2" t="s">
        <v>14</v>
      </c>
      <c r="I2239" s="4">
        <v>43614.896527777775</v>
      </c>
      <c r="J2239" s="2" t="s">
        <v>4958</v>
      </c>
    </row>
    <row r="2240" spans="1:10" ht="135" x14ac:dyDescent="0.25">
      <c r="A2240" s="2" t="s">
        <v>5850</v>
      </c>
      <c r="B2240" s="2">
        <v>809.02</v>
      </c>
      <c r="C2240" s="2" t="s">
        <v>20</v>
      </c>
      <c r="D2240" s="2" t="s">
        <v>5849</v>
      </c>
      <c r="E2240" s="2" t="s">
        <v>618</v>
      </c>
      <c r="F2240" s="3">
        <v>42663</v>
      </c>
      <c r="G2240" s="2" t="str">
        <f>"9781137566102"</f>
        <v>9781137566102</v>
      </c>
      <c r="H2240" s="2" t="s">
        <v>14</v>
      </c>
      <c r="I2240" s="4">
        <v>43565.357638888891</v>
      </c>
      <c r="J2240" s="2" t="s">
        <v>5851</v>
      </c>
    </row>
    <row r="2241" spans="1:10" ht="135" x14ac:dyDescent="0.25">
      <c r="A2241" s="2" t="s">
        <v>5850</v>
      </c>
      <c r="B2241" s="2">
        <v>891.79090040000006</v>
      </c>
      <c r="C2241" s="2" t="s">
        <v>8592</v>
      </c>
      <c r="D2241" s="2" t="s">
        <v>8591</v>
      </c>
      <c r="E2241" s="2" t="s">
        <v>627</v>
      </c>
      <c r="F2241" s="3">
        <v>42551</v>
      </c>
      <c r="G2241" s="2" t="str">
        <f>"9789633861219"</f>
        <v>9789633861219</v>
      </c>
      <c r="H2241" s="2" t="s">
        <v>14</v>
      </c>
      <c r="I2241" s="4">
        <v>43284.977083333331</v>
      </c>
      <c r="J2241" s="2" t="s">
        <v>8593</v>
      </c>
    </row>
    <row r="2242" spans="1:10" ht="135" x14ac:dyDescent="0.25">
      <c r="A2242" s="2" t="s">
        <v>3906</v>
      </c>
      <c r="B2242" s="2">
        <v>809</v>
      </c>
      <c r="C2242" s="2" t="s">
        <v>4657</v>
      </c>
      <c r="D2242" s="2" t="s">
        <v>4656</v>
      </c>
      <c r="E2242" s="2" t="s">
        <v>216</v>
      </c>
      <c r="F2242" s="3">
        <v>42005</v>
      </c>
      <c r="G2242" s="2" t="str">
        <f>"9781438454726"</f>
        <v>9781438454726</v>
      </c>
      <c r="H2242" s="2" t="s">
        <v>14</v>
      </c>
      <c r="I2242" s="4">
        <v>43640.456944444442</v>
      </c>
      <c r="J2242" s="2" t="s">
        <v>4658</v>
      </c>
    </row>
    <row r="2243" spans="1:10" ht="135" x14ac:dyDescent="0.25">
      <c r="A2243" s="2" t="s">
        <v>3906</v>
      </c>
      <c r="B2243" s="2">
        <v>891.73440000000005</v>
      </c>
      <c r="C2243" s="2" t="s">
        <v>4548</v>
      </c>
      <c r="D2243" s="2" t="s">
        <v>4547</v>
      </c>
      <c r="E2243" s="2" t="s">
        <v>69</v>
      </c>
      <c r="F2243" s="3">
        <v>43125</v>
      </c>
      <c r="G2243" s="2" t="str">
        <f>"9780253032430"</f>
        <v>9780253032430</v>
      </c>
      <c r="H2243" s="2" t="s">
        <v>14</v>
      </c>
      <c r="I2243" s="4">
        <v>43648.486805555556</v>
      </c>
      <c r="J2243" s="2" t="s">
        <v>4549</v>
      </c>
    </row>
    <row r="2244" spans="1:10" ht="135" x14ac:dyDescent="0.25">
      <c r="A2244" s="2" t="s">
        <v>3906</v>
      </c>
      <c r="B2244" s="2">
        <v>895.1001</v>
      </c>
      <c r="C2244" s="2" t="s">
        <v>3907</v>
      </c>
      <c r="D2244" s="2" t="s">
        <v>3905</v>
      </c>
      <c r="E2244" s="2" t="s">
        <v>216</v>
      </c>
      <c r="F2244" s="3">
        <v>43586</v>
      </c>
      <c r="G2244" s="2" t="str">
        <f>"9781438475141"</f>
        <v>9781438475141</v>
      </c>
      <c r="H2244" s="2" t="s">
        <v>14</v>
      </c>
      <c r="I2244" s="4">
        <v>43740.794444444444</v>
      </c>
      <c r="J2244" s="2" t="s">
        <v>3908</v>
      </c>
    </row>
    <row r="2245" spans="1:10" ht="135" x14ac:dyDescent="0.25">
      <c r="A2245" s="2" t="s">
        <v>3906</v>
      </c>
      <c r="B2245" s="2">
        <v>895.92209000000003</v>
      </c>
      <c r="C2245" s="2" t="s">
        <v>10555</v>
      </c>
      <c r="D2245" s="2" t="s">
        <v>10554</v>
      </c>
      <c r="E2245" s="2" t="s">
        <v>28</v>
      </c>
      <c r="F2245" s="3">
        <v>42737</v>
      </c>
      <c r="G2245" s="2" t="str">
        <f>"9780823273157"</f>
        <v>9780823273157</v>
      </c>
      <c r="H2245" s="2" t="s">
        <v>14</v>
      </c>
      <c r="I2245" s="4">
        <v>43049.755555555559</v>
      </c>
      <c r="J2245" s="2" t="s">
        <v>10556</v>
      </c>
    </row>
    <row r="2246" spans="1:10" ht="135" x14ac:dyDescent="0.25">
      <c r="A2246" s="2" t="s">
        <v>3906</v>
      </c>
      <c r="B2246" s="2">
        <v>821</v>
      </c>
      <c r="C2246" s="2" t="s">
        <v>7891</v>
      </c>
      <c r="D2246" s="2" t="s">
        <v>7890</v>
      </c>
      <c r="E2246" s="2" t="s">
        <v>3481</v>
      </c>
      <c r="F2246" s="3">
        <v>41885</v>
      </c>
      <c r="G2246" s="2" t="str">
        <f>"9781775587460"</f>
        <v>9781775587460</v>
      </c>
      <c r="H2246" s="2" t="s">
        <v>14</v>
      </c>
      <c r="I2246" s="4">
        <v>43380.871527777781</v>
      </c>
      <c r="J2246" s="2" t="s">
        <v>7892</v>
      </c>
    </row>
    <row r="2247" spans="1:10" ht="135" x14ac:dyDescent="0.25">
      <c r="A2247" s="2" t="s">
        <v>3906</v>
      </c>
      <c r="B2247" s="2">
        <v>808</v>
      </c>
      <c r="C2247" s="2" t="s">
        <v>188</v>
      </c>
      <c r="D2247" s="2" t="s">
        <v>6616</v>
      </c>
      <c r="E2247" s="2" t="s">
        <v>397</v>
      </c>
      <c r="F2247" s="3">
        <v>43417</v>
      </c>
      <c r="G2247" s="2" t="str">
        <f>"9780822986430"</f>
        <v>9780822986430</v>
      </c>
      <c r="H2247" s="2" t="s">
        <v>14</v>
      </c>
      <c r="I2247" s="4">
        <v>43503.51458333333</v>
      </c>
      <c r="J2247" s="2" t="s">
        <v>6617</v>
      </c>
    </row>
    <row r="2248" spans="1:10" ht="135" x14ac:dyDescent="0.25">
      <c r="A2248" s="2" t="s">
        <v>3906</v>
      </c>
      <c r="B2248" s="2" t="s">
        <v>8751</v>
      </c>
      <c r="C2248" s="2" t="s">
        <v>8752</v>
      </c>
      <c r="D2248" s="2" t="s">
        <v>8750</v>
      </c>
      <c r="E2248" s="2" t="s">
        <v>65</v>
      </c>
      <c r="F2248" s="3">
        <v>43118</v>
      </c>
      <c r="G2248" s="2" t="str">
        <f>"9780806160894"</f>
        <v>9780806160894</v>
      </c>
      <c r="H2248" s="2" t="s">
        <v>14</v>
      </c>
      <c r="I2248" s="4">
        <v>43258.422222222223</v>
      </c>
      <c r="J2248" s="2" t="s">
        <v>8753</v>
      </c>
    </row>
    <row r="2249" spans="1:10" ht="135" x14ac:dyDescent="0.25">
      <c r="A2249" s="2" t="s">
        <v>3906</v>
      </c>
      <c r="B2249" s="2" t="s">
        <v>8641</v>
      </c>
      <c r="C2249" s="2" t="s">
        <v>8642</v>
      </c>
      <c r="D2249" s="2" t="s">
        <v>8640</v>
      </c>
      <c r="E2249" s="2" t="s">
        <v>156</v>
      </c>
      <c r="F2249" s="3">
        <v>42550</v>
      </c>
      <c r="G2249" s="2" t="str">
        <f>"9781469626796"</f>
        <v>9781469626796</v>
      </c>
      <c r="H2249" s="2" t="s">
        <v>14</v>
      </c>
      <c r="I2249" s="4">
        <v>43279.59652777778</v>
      </c>
      <c r="J2249" s="2" t="s">
        <v>8643</v>
      </c>
    </row>
    <row r="2250" spans="1:10" ht="135" x14ac:dyDescent="0.25">
      <c r="A2250" s="2" t="s">
        <v>4041</v>
      </c>
      <c r="D2250" s="2" t="s">
        <v>4040</v>
      </c>
      <c r="E2250" s="2" t="s">
        <v>73</v>
      </c>
      <c r="F2250" s="3">
        <v>43627</v>
      </c>
      <c r="G2250" s="2" t="str">
        <f>"9781452959993"</f>
        <v>9781452959993</v>
      </c>
      <c r="H2250" s="2" t="s">
        <v>14</v>
      </c>
      <c r="I2250" s="4">
        <v>43722.618055555555</v>
      </c>
      <c r="J2250" s="2" t="s">
        <v>4042</v>
      </c>
    </row>
    <row r="2251" spans="1:10" ht="135" x14ac:dyDescent="0.25">
      <c r="A2251" s="2" t="s">
        <v>4041</v>
      </c>
      <c r="B2251" s="2">
        <v>808</v>
      </c>
      <c r="C2251" s="2" t="s">
        <v>4312</v>
      </c>
      <c r="D2251" s="2" t="s">
        <v>4311</v>
      </c>
      <c r="E2251" s="2" t="s">
        <v>531</v>
      </c>
      <c r="F2251" s="3">
        <v>42601</v>
      </c>
      <c r="G2251" s="2" t="str">
        <f>"9780809335275"</f>
        <v>9780809335275</v>
      </c>
      <c r="H2251" s="2" t="s">
        <v>14</v>
      </c>
      <c r="I2251" s="4">
        <v>43683.604861111111</v>
      </c>
      <c r="J2251" s="2" t="s">
        <v>4313</v>
      </c>
    </row>
    <row r="2252" spans="1:10" ht="135" x14ac:dyDescent="0.25">
      <c r="A2252" s="2" t="s">
        <v>4041</v>
      </c>
      <c r="B2252" s="2">
        <v>111.85</v>
      </c>
      <c r="C2252" s="2" t="s">
        <v>7881</v>
      </c>
      <c r="D2252" s="2" t="s">
        <v>7880</v>
      </c>
      <c r="E2252" s="2" t="s">
        <v>97</v>
      </c>
      <c r="F2252" s="3">
        <v>41527</v>
      </c>
      <c r="G2252" s="2" t="str">
        <f>"9780231519724"</f>
        <v>9780231519724</v>
      </c>
      <c r="H2252" s="2" t="s">
        <v>14</v>
      </c>
      <c r="I2252" s="4">
        <v>43382.40625</v>
      </c>
      <c r="J2252" s="2" t="s">
        <v>7882</v>
      </c>
    </row>
    <row r="2253" spans="1:10" ht="135" x14ac:dyDescent="0.25">
      <c r="A2253" s="2" t="s">
        <v>402</v>
      </c>
      <c r="D2253" s="2" t="s">
        <v>401</v>
      </c>
      <c r="E2253" s="2" t="s">
        <v>54</v>
      </c>
      <c r="F2253" s="3">
        <v>44026</v>
      </c>
      <c r="G2253" s="2" t="str">
        <f>"9781503612747"</f>
        <v>9781503612747</v>
      </c>
      <c r="H2253" s="2" t="s">
        <v>14</v>
      </c>
      <c r="I2253" s="4">
        <v>44026.54791666667</v>
      </c>
      <c r="J2253" s="2" t="s">
        <v>403</v>
      </c>
    </row>
    <row r="2254" spans="1:10" ht="135" x14ac:dyDescent="0.25">
      <c r="A2254" s="2" t="s">
        <v>1431</v>
      </c>
      <c r="B2254" s="2" t="s">
        <v>8522</v>
      </c>
      <c r="C2254" s="2" t="s">
        <v>8523</v>
      </c>
      <c r="D2254" s="2" t="s">
        <v>8521</v>
      </c>
      <c r="E2254" s="2" t="s">
        <v>2846</v>
      </c>
      <c r="F2254" s="3">
        <v>42491</v>
      </c>
      <c r="G2254" s="2" t="str">
        <f>"9781940425955"</f>
        <v>9781940425955</v>
      </c>
      <c r="H2254" s="2" t="s">
        <v>14</v>
      </c>
      <c r="I2254" s="4">
        <v>43295.95</v>
      </c>
      <c r="J2254" s="2" t="s">
        <v>8524</v>
      </c>
    </row>
    <row r="2255" spans="1:10" ht="195" x14ac:dyDescent="0.25">
      <c r="A2255" s="2" t="s">
        <v>1431</v>
      </c>
      <c r="B2255" s="2">
        <v>248.22</v>
      </c>
      <c r="C2255" s="2" t="s">
        <v>4141</v>
      </c>
      <c r="D2255" s="2" t="s">
        <v>4140</v>
      </c>
      <c r="E2255" s="2" t="s">
        <v>80</v>
      </c>
      <c r="F2255" s="3">
        <v>41835</v>
      </c>
      <c r="G2255" s="2" t="str">
        <f>"9783653033786"</f>
        <v>9783653033786</v>
      </c>
      <c r="H2255" s="2" t="s">
        <v>14</v>
      </c>
      <c r="I2255" s="4">
        <v>43706.415972222225</v>
      </c>
      <c r="J2255" s="2" t="s">
        <v>4142</v>
      </c>
    </row>
    <row r="2256" spans="1:10" ht="150" x14ac:dyDescent="0.25">
      <c r="A2256" s="2" t="s">
        <v>1431</v>
      </c>
      <c r="B2256" s="2">
        <v>248.22</v>
      </c>
      <c r="C2256" s="2" t="s">
        <v>619</v>
      </c>
      <c r="D2256" s="2" t="s">
        <v>3814</v>
      </c>
      <c r="E2256" s="2" t="s">
        <v>37</v>
      </c>
      <c r="F2256" s="3">
        <v>42761</v>
      </c>
      <c r="G2256" s="2" t="str">
        <f>"9783319497754"</f>
        <v>9783319497754</v>
      </c>
      <c r="H2256" s="2" t="s">
        <v>14</v>
      </c>
      <c r="I2256" s="4">
        <v>43753.900694444441</v>
      </c>
      <c r="J2256" s="2" t="s">
        <v>3815</v>
      </c>
    </row>
    <row r="2257" spans="1:10" ht="135" x14ac:dyDescent="0.25">
      <c r="A2257" s="2" t="s">
        <v>1431</v>
      </c>
      <c r="B2257" s="2">
        <v>809.93381999999997</v>
      </c>
      <c r="C2257" s="2" t="s">
        <v>9335</v>
      </c>
      <c r="D2257" s="2" t="s">
        <v>9334</v>
      </c>
      <c r="E2257" s="2" t="s">
        <v>674</v>
      </c>
      <c r="F2257" s="3">
        <v>42919</v>
      </c>
      <c r="G2257" s="2" t="str">
        <f>"9780823276745"</f>
        <v>9780823276745</v>
      </c>
      <c r="H2257" s="2" t="s">
        <v>14</v>
      </c>
      <c r="I2257" s="4">
        <v>43185.304861111108</v>
      </c>
      <c r="J2257" s="2" t="s">
        <v>9336</v>
      </c>
    </row>
    <row r="2258" spans="1:10" ht="135" x14ac:dyDescent="0.25">
      <c r="A2258" s="2" t="s">
        <v>1431</v>
      </c>
      <c r="B2258" s="2">
        <v>261.56099999999998</v>
      </c>
      <c r="C2258" s="2" t="s">
        <v>619</v>
      </c>
      <c r="D2258" s="2" t="s">
        <v>1430</v>
      </c>
      <c r="E2258" s="2" t="s">
        <v>17</v>
      </c>
      <c r="F2258" s="3">
        <v>41591</v>
      </c>
      <c r="G2258" s="2" t="str">
        <f>"9781137345608"</f>
        <v>9781137345608</v>
      </c>
      <c r="H2258" s="2" t="s">
        <v>14</v>
      </c>
      <c r="I2258" s="4">
        <v>43943.62777777778</v>
      </c>
      <c r="J2258" s="2" t="s">
        <v>1432</v>
      </c>
    </row>
    <row r="2259" spans="1:10" ht="135" x14ac:dyDescent="0.25">
      <c r="A2259" s="2" t="s">
        <v>34</v>
      </c>
      <c r="B2259" s="2">
        <v>363.50942099999997</v>
      </c>
      <c r="C2259" s="2" t="s">
        <v>619</v>
      </c>
      <c r="D2259" s="2" t="s">
        <v>1858</v>
      </c>
      <c r="E2259" s="2" t="s">
        <v>17</v>
      </c>
      <c r="F2259" s="3">
        <v>40085</v>
      </c>
      <c r="G2259" s="2" t="str">
        <f>"9780230244917"</f>
        <v>9780230244917</v>
      </c>
      <c r="H2259" s="2" t="s">
        <v>14</v>
      </c>
      <c r="I2259" s="4">
        <v>43923.725694444445</v>
      </c>
      <c r="J2259" s="2" t="s">
        <v>1859</v>
      </c>
    </row>
    <row r="2260" spans="1:10" ht="135" x14ac:dyDescent="0.25">
      <c r="A2260" s="2" t="s">
        <v>34</v>
      </c>
      <c r="D2260" s="2" t="s">
        <v>32</v>
      </c>
      <c r="E2260" s="2" t="s">
        <v>33</v>
      </c>
      <c r="F2260" s="3">
        <v>43033</v>
      </c>
      <c r="G2260" s="2" t="str">
        <f>"9781613764671"</f>
        <v>9781613764671</v>
      </c>
      <c r="H2260" s="2" t="s">
        <v>14</v>
      </c>
      <c r="I2260" s="4">
        <v>44075.383333333331</v>
      </c>
      <c r="J2260" s="2" t="s">
        <v>35</v>
      </c>
    </row>
    <row r="2261" spans="1:10" ht="135" x14ac:dyDescent="0.25">
      <c r="A2261" s="2" t="s">
        <v>34</v>
      </c>
      <c r="B2261" s="2">
        <v>305.31</v>
      </c>
      <c r="C2261" s="2" t="s">
        <v>619</v>
      </c>
      <c r="D2261" s="2" t="s">
        <v>5026</v>
      </c>
      <c r="E2261" s="2" t="s">
        <v>37</v>
      </c>
      <c r="F2261" s="3">
        <v>43027</v>
      </c>
      <c r="G2261" s="2" t="str">
        <f>"9783319599458"</f>
        <v>9783319599458</v>
      </c>
      <c r="H2261" s="2" t="s">
        <v>14</v>
      </c>
      <c r="I2261" s="4">
        <v>43612.300694444442</v>
      </c>
      <c r="J2261" s="2" t="s">
        <v>5027</v>
      </c>
    </row>
    <row r="2262" spans="1:10" ht="135" x14ac:dyDescent="0.25">
      <c r="A2262" s="2" t="s">
        <v>34</v>
      </c>
      <c r="D2262" s="2" t="s">
        <v>2589</v>
      </c>
      <c r="E2262" s="2" t="s">
        <v>73</v>
      </c>
      <c r="F2262" s="3">
        <v>43816</v>
      </c>
      <c r="G2262" s="2" t="str">
        <f>"9781452959429"</f>
        <v>9781452959429</v>
      </c>
      <c r="H2262" s="2" t="s">
        <v>14</v>
      </c>
      <c r="I2262" s="4">
        <v>43873.729861111111</v>
      </c>
      <c r="J2262" s="2" t="s">
        <v>2590</v>
      </c>
    </row>
    <row r="2263" spans="1:10" ht="135" x14ac:dyDescent="0.25">
      <c r="A2263" s="2" t="s">
        <v>34</v>
      </c>
      <c r="B2263" s="2">
        <v>822.91200000000003</v>
      </c>
      <c r="C2263" s="2" t="s">
        <v>1082</v>
      </c>
      <c r="D2263" s="2" t="s">
        <v>3533</v>
      </c>
      <c r="E2263" s="2" t="s">
        <v>37</v>
      </c>
      <c r="F2263" s="3">
        <v>42702</v>
      </c>
      <c r="G2263" s="2" t="str">
        <f>"9783319409979"</f>
        <v>9783319409979</v>
      </c>
      <c r="H2263" s="2" t="s">
        <v>14</v>
      </c>
      <c r="I2263" s="4">
        <v>43776.976388888892</v>
      </c>
      <c r="J2263" s="2" t="s">
        <v>3534</v>
      </c>
    </row>
    <row r="2264" spans="1:10" ht="135" x14ac:dyDescent="0.25">
      <c r="A2264" s="2" t="s">
        <v>34</v>
      </c>
      <c r="D2264" s="2" t="s">
        <v>243</v>
      </c>
      <c r="E2264" s="2" t="s">
        <v>46</v>
      </c>
      <c r="F2264" s="3">
        <v>44044</v>
      </c>
      <c r="G2264" s="2" t="str">
        <f>"9781496221742"</f>
        <v>9781496221742</v>
      </c>
      <c r="H2264" s="2" t="s">
        <v>14</v>
      </c>
      <c r="I2264" s="4">
        <v>44050.859027777777</v>
      </c>
      <c r="J2264" s="2" t="s">
        <v>244</v>
      </c>
    </row>
    <row r="2265" spans="1:10" ht="150" x14ac:dyDescent="0.25">
      <c r="A2265" s="2" t="s">
        <v>965</v>
      </c>
      <c r="B2265" s="2">
        <v>306.48480972999999</v>
      </c>
      <c r="C2265" s="2" t="s">
        <v>966</v>
      </c>
      <c r="D2265" s="2" t="s">
        <v>964</v>
      </c>
      <c r="E2265" s="2" t="s">
        <v>101</v>
      </c>
      <c r="F2265" s="3">
        <v>42931</v>
      </c>
      <c r="G2265" s="2" t="str">
        <f>"9780810135321"</f>
        <v>9780810135321</v>
      </c>
      <c r="H2265" s="2" t="s">
        <v>14</v>
      </c>
      <c r="I2265" s="4">
        <v>43971.936111111114</v>
      </c>
      <c r="J2265" s="2" t="s">
        <v>967</v>
      </c>
    </row>
    <row r="2266" spans="1:10" ht="135" x14ac:dyDescent="0.25">
      <c r="A2266" s="2" t="s">
        <v>4164</v>
      </c>
      <c r="B2266" s="2">
        <v>362.29199999999997</v>
      </c>
      <c r="C2266" s="2" t="s">
        <v>4165</v>
      </c>
      <c r="D2266" s="2" t="s">
        <v>4163</v>
      </c>
      <c r="E2266" s="2" t="s">
        <v>674</v>
      </c>
      <c r="F2266" s="3">
        <v>42339</v>
      </c>
      <c r="G2266" s="2" t="str">
        <f>"9780823267750"</f>
        <v>9780823267750</v>
      </c>
      <c r="H2266" s="2" t="s">
        <v>14</v>
      </c>
      <c r="I2266" s="4">
        <v>43703.635416666664</v>
      </c>
      <c r="J2266" s="2" t="s">
        <v>4166</v>
      </c>
    </row>
    <row r="2267" spans="1:10" ht="180" x14ac:dyDescent="0.25">
      <c r="A2267" s="2" t="s">
        <v>296</v>
      </c>
      <c r="B2267" s="2">
        <v>510</v>
      </c>
      <c r="C2267" s="2" t="s">
        <v>298</v>
      </c>
      <c r="D2267" s="2" t="s">
        <v>9540</v>
      </c>
      <c r="E2267" s="2" t="s">
        <v>3285</v>
      </c>
      <c r="F2267" s="3">
        <v>42153</v>
      </c>
      <c r="G2267" s="2" t="str">
        <f>"9783319120300"</f>
        <v>9783319120300</v>
      </c>
      <c r="H2267" s="2" t="s">
        <v>14</v>
      </c>
      <c r="I2267" s="4">
        <v>43157.429166666669</v>
      </c>
      <c r="J2267" s="2" t="s">
        <v>9541</v>
      </c>
    </row>
    <row r="2268" spans="1:10" ht="135" x14ac:dyDescent="0.25">
      <c r="A2268" s="2" t="s">
        <v>296</v>
      </c>
      <c r="B2268" s="2" t="s">
        <v>2114</v>
      </c>
      <c r="C2268" s="2" t="s">
        <v>2115</v>
      </c>
      <c r="D2268" s="2" t="s">
        <v>2113</v>
      </c>
      <c r="E2268" s="2" t="s">
        <v>1201</v>
      </c>
      <c r="F2268" s="3">
        <v>28126</v>
      </c>
      <c r="G2268" s="2" t="str">
        <f>"9781475738490"</f>
        <v>9781475738490</v>
      </c>
      <c r="H2268" s="2" t="s">
        <v>14</v>
      </c>
      <c r="I2268" s="4">
        <v>43913.504861111112</v>
      </c>
      <c r="J2268" s="2" t="s">
        <v>2116</v>
      </c>
    </row>
    <row r="2269" spans="1:10" ht="135" x14ac:dyDescent="0.25">
      <c r="A2269" s="2" t="s">
        <v>296</v>
      </c>
      <c r="B2269" s="2" t="s">
        <v>2066</v>
      </c>
      <c r="C2269" s="2" t="s">
        <v>2067</v>
      </c>
      <c r="D2269" s="2" t="s">
        <v>2065</v>
      </c>
      <c r="E2269" s="2" t="s">
        <v>295</v>
      </c>
      <c r="F2269" s="3">
        <v>33604</v>
      </c>
      <c r="G2269" s="2" t="str">
        <f>"9783662027721"</f>
        <v>9783662027721</v>
      </c>
      <c r="H2269" s="2" t="s">
        <v>14</v>
      </c>
      <c r="I2269" s="4">
        <v>43915.643055555556</v>
      </c>
      <c r="J2269" s="2" t="s">
        <v>2068</v>
      </c>
    </row>
    <row r="2270" spans="1:10" ht="135" x14ac:dyDescent="0.25">
      <c r="A2270" s="2" t="s">
        <v>296</v>
      </c>
      <c r="B2270" s="2" t="s">
        <v>1985</v>
      </c>
      <c r="C2270" s="2" t="s">
        <v>1986</v>
      </c>
      <c r="D2270" s="2" t="s">
        <v>1984</v>
      </c>
      <c r="E2270" s="2" t="s">
        <v>1702</v>
      </c>
      <c r="F2270" s="3">
        <v>36902</v>
      </c>
      <c r="G2270" s="2" t="str">
        <f>"9781470402990"</f>
        <v>9781470402990</v>
      </c>
      <c r="H2270" s="2" t="s">
        <v>14</v>
      </c>
      <c r="I2270" s="4">
        <v>43919.527777777781</v>
      </c>
      <c r="J2270" s="2" t="s">
        <v>1987</v>
      </c>
    </row>
    <row r="2271" spans="1:10" ht="135" x14ac:dyDescent="0.25">
      <c r="A2271" s="2" t="s">
        <v>296</v>
      </c>
      <c r="B2271" s="2">
        <v>511.5</v>
      </c>
      <c r="C2271" s="2" t="s">
        <v>2134</v>
      </c>
      <c r="D2271" s="2" t="s">
        <v>2133</v>
      </c>
      <c r="E2271" s="2" t="s">
        <v>589</v>
      </c>
      <c r="F2271" s="3">
        <v>38142</v>
      </c>
      <c r="G2271" s="2" t="str">
        <f>"9780486317588"</f>
        <v>9780486317588</v>
      </c>
      <c r="H2271" s="2" t="s">
        <v>14</v>
      </c>
      <c r="I2271" s="4">
        <v>43911.565972222219</v>
      </c>
      <c r="J2271" s="2" t="s">
        <v>2135</v>
      </c>
    </row>
    <row r="2272" spans="1:10" ht="135" x14ac:dyDescent="0.25">
      <c r="A2272" s="2" t="s">
        <v>296</v>
      </c>
      <c r="B2272" s="2" t="s">
        <v>2057</v>
      </c>
      <c r="C2272" s="2" t="s">
        <v>298</v>
      </c>
      <c r="D2272" s="2" t="s">
        <v>2056</v>
      </c>
      <c r="E2272" s="2" t="s">
        <v>295</v>
      </c>
      <c r="F2272" s="3">
        <v>37539</v>
      </c>
      <c r="G2272" s="2" t="str">
        <f>"9783662052655"</f>
        <v>9783662052655</v>
      </c>
      <c r="H2272" s="2" t="s">
        <v>14</v>
      </c>
      <c r="I2272" s="4">
        <v>43915.723611111112</v>
      </c>
      <c r="J2272" s="2" t="s">
        <v>2058</v>
      </c>
    </row>
    <row r="2273" spans="1:10" ht="135" x14ac:dyDescent="0.25">
      <c r="A2273" s="2" t="s">
        <v>296</v>
      </c>
      <c r="B2273" s="2">
        <v>510.9</v>
      </c>
      <c r="C2273" s="2" t="s">
        <v>298</v>
      </c>
      <c r="D2273" s="2" t="s">
        <v>3062</v>
      </c>
      <c r="E2273" s="2" t="s">
        <v>37</v>
      </c>
      <c r="F2273" s="3">
        <v>42331</v>
      </c>
      <c r="G2273" s="2" t="str">
        <f>"9783319225241"</f>
        <v>9783319225241</v>
      </c>
      <c r="H2273" s="2" t="s">
        <v>14</v>
      </c>
      <c r="I2273" s="4">
        <v>43819.572916666664</v>
      </c>
      <c r="J2273" s="2" t="s">
        <v>3063</v>
      </c>
    </row>
    <row r="2274" spans="1:10" ht="135" x14ac:dyDescent="0.25">
      <c r="A2274" s="2" t="s">
        <v>296</v>
      </c>
      <c r="B2274" s="2">
        <v>519.20000000000005</v>
      </c>
      <c r="C2274" s="2" t="s">
        <v>1703</v>
      </c>
      <c r="D2274" s="2" t="s">
        <v>1701</v>
      </c>
      <c r="E2274" s="2" t="s">
        <v>1702</v>
      </c>
      <c r="F2274" s="3">
        <v>40848</v>
      </c>
      <c r="G2274" s="2" t="str">
        <f>"9780821882375"</f>
        <v>9780821882375</v>
      </c>
      <c r="H2274" s="2" t="s">
        <v>14</v>
      </c>
      <c r="I2274" s="4">
        <v>43931.289583333331</v>
      </c>
      <c r="J2274" s="2" t="s">
        <v>1704</v>
      </c>
    </row>
    <row r="2275" spans="1:10" ht="135" x14ac:dyDescent="0.25">
      <c r="A2275" s="2" t="s">
        <v>296</v>
      </c>
      <c r="B2275" s="2">
        <v>512.94219999999996</v>
      </c>
      <c r="C2275" s="2" t="s">
        <v>298</v>
      </c>
      <c r="D2275" s="2" t="s">
        <v>2111</v>
      </c>
      <c r="E2275" s="2" t="s">
        <v>295</v>
      </c>
      <c r="F2275" s="3">
        <v>37005</v>
      </c>
      <c r="G2275" s="2" t="str">
        <f>"9783662046487"</f>
        <v>9783662046487</v>
      </c>
      <c r="H2275" s="2" t="s">
        <v>14</v>
      </c>
      <c r="I2275" s="4">
        <v>43913.525000000001</v>
      </c>
      <c r="J2275" s="2" t="s">
        <v>2112</v>
      </c>
    </row>
    <row r="2276" spans="1:10" ht="135" x14ac:dyDescent="0.25">
      <c r="A2276" s="2" t="s">
        <v>296</v>
      </c>
      <c r="B2276" s="2">
        <v>510.92</v>
      </c>
      <c r="C2276" s="2" t="s">
        <v>298</v>
      </c>
      <c r="D2276" s="2" t="s">
        <v>3284</v>
      </c>
      <c r="E2276" s="2" t="s">
        <v>3285</v>
      </c>
      <c r="F2276" s="3">
        <v>42676</v>
      </c>
      <c r="G2276" s="2" t="str">
        <f>"9783319308470"</f>
        <v>9783319308470</v>
      </c>
      <c r="H2276" s="2" t="s">
        <v>14</v>
      </c>
      <c r="I2276" s="4">
        <v>43792.758333333331</v>
      </c>
      <c r="J2276" s="2" t="s">
        <v>3286</v>
      </c>
    </row>
    <row r="2277" spans="1:10" ht="135" x14ac:dyDescent="0.25">
      <c r="A2277" s="2" t="s">
        <v>296</v>
      </c>
      <c r="B2277" s="2" t="s">
        <v>297</v>
      </c>
      <c r="C2277" s="2" t="s">
        <v>298</v>
      </c>
      <c r="D2277" s="2" t="s">
        <v>294</v>
      </c>
      <c r="E2277" s="2" t="s">
        <v>295</v>
      </c>
      <c r="F2277" s="3">
        <v>38198</v>
      </c>
      <c r="G2277" s="2" t="str">
        <f>"9783642188558"</f>
        <v>9783642188558</v>
      </c>
      <c r="H2277" s="2" t="s">
        <v>14</v>
      </c>
      <c r="I2277" s="4">
        <v>44044.332638888889</v>
      </c>
      <c r="J2277" s="2" t="s">
        <v>299</v>
      </c>
    </row>
    <row r="2278" spans="1:10" ht="135" x14ac:dyDescent="0.25">
      <c r="A2278" s="2" t="s">
        <v>489</v>
      </c>
      <c r="B2278" s="2">
        <v>1.2</v>
      </c>
      <c r="C2278" s="2" t="s">
        <v>298</v>
      </c>
      <c r="D2278" s="2" t="s">
        <v>488</v>
      </c>
      <c r="E2278" s="2" t="s">
        <v>37</v>
      </c>
      <c r="F2278" s="3">
        <v>43489</v>
      </c>
      <c r="G2278" s="2" t="str">
        <f>"9783030041762"</f>
        <v>9783030041762</v>
      </c>
      <c r="H2278" s="2" t="s">
        <v>14</v>
      </c>
      <c r="I2278" s="4">
        <v>44019.515277777777</v>
      </c>
      <c r="J2278" s="2" t="s">
        <v>490</v>
      </c>
    </row>
    <row r="2279" spans="1:10" ht="165" x14ac:dyDescent="0.25">
      <c r="A2279" s="2" t="s">
        <v>2031</v>
      </c>
      <c r="B2279" s="2">
        <v>510.94090299999999</v>
      </c>
      <c r="C2279" s="2" t="s">
        <v>20</v>
      </c>
      <c r="D2279" s="2" t="s">
        <v>2030</v>
      </c>
      <c r="E2279" s="2" t="s">
        <v>37</v>
      </c>
      <c r="F2279" s="3">
        <v>42821</v>
      </c>
      <c r="G2279" s="2" t="str">
        <f>"9783319494302"</f>
        <v>9783319494302</v>
      </c>
      <c r="H2279" s="2" t="s">
        <v>14</v>
      </c>
      <c r="I2279" s="4">
        <v>43917.343055555553</v>
      </c>
      <c r="J2279" s="2" t="s">
        <v>2032</v>
      </c>
    </row>
    <row r="2280" spans="1:10" ht="210" x14ac:dyDescent="0.25">
      <c r="A2280" s="2" t="s">
        <v>2812</v>
      </c>
      <c r="B2280" s="2">
        <v>618.17999999999995</v>
      </c>
      <c r="C2280" s="2" t="s">
        <v>9616</v>
      </c>
      <c r="D2280" s="2" t="s">
        <v>9615</v>
      </c>
      <c r="E2280" s="2" t="s">
        <v>2560</v>
      </c>
      <c r="F2280" s="3">
        <v>42941</v>
      </c>
      <c r="G2280" s="2" t="str">
        <f>"9780826521293"</f>
        <v>9780826521293</v>
      </c>
      <c r="H2280" s="2" t="s">
        <v>14</v>
      </c>
      <c r="I2280" s="4">
        <v>43145.647916666669</v>
      </c>
      <c r="J2280" s="2" t="s">
        <v>9617</v>
      </c>
    </row>
    <row r="2281" spans="1:10" ht="135" x14ac:dyDescent="0.25">
      <c r="A2281" s="2" t="s">
        <v>2812</v>
      </c>
      <c r="B2281" s="2">
        <v>616.85270000000003</v>
      </c>
      <c r="C2281" s="2" t="s">
        <v>10192</v>
      </c>
      <c r="D2281" s="2" t="s">
        <v>10191</v>
      </c>
      <c r="E2281" s="2" t="s">
        <v>295</v>
      </c>
      <c r="F2281" s="3">
        <v>41374</v>
      </c>
      <c r="G2281" s="2" t="str">
        <f>"9783642354250"</f>
        <v>9783642354250</v>
      </c>
      <c r="H2281" s="2" t="s">
        <v>14</v>
      </c>
      <c r="I2281" s="4">
        <v>43084.611805555556</v>
      </c>
      <c r="J2281" s="2" t="s">
        <v>10193</v>
      </c>
    </row>
    <row r="2282" spans="1:10" ht="180" x14ac:dyDescent="0.25">
      <c r="A2282" s="2" t="s">
        <v>2812</v>
      </c>
      <c r="B2282" s="2">
        <v>616.24400000000003</v>
      </c>
      <c r="C2282" s="2" t="s">
        <v>7559</v>
      </c>
      <c r="D2282" s="2" t="s">
        <v>7558</v>
      </c>
      <c r="E2282" s="2" t="s">
        <v>73</v>
      </c>
      <c r="F2282" s="3">
        <v>41671</v>
      </c>
      <c r="G2282" s="2" t="str">
        <f>"9781452940991"</f>
        <v>9781452940991</v>
      </c>
      <c r="H2282" s="2" t="s">
        <v>14</v>
      </c>
      <c r="I2282" s="4">
        <v>43408.929166666669</v>
      </c>
      <c r="J2282" s="2" t="s">
        <v>7560</v>
      </c>
    </row>
    <row r="2283" spans="1:10" ht="150" x14ac:dyDescent="0.25">
      <c r="A2283" s="2" t="s">
        <v>2812</v>
      </c>
      <c r="B2283" s="2" t="s">
        <v>11802</v>
      </c>
      <c r="C2283" s="2" t="s">
        <v>11803</v>
      </c>
      <c r="D2283" s="2" t="s">
        <v>11801</v>
      </c>
      <c r="E2283" s="2" t="s">
        <v>156</v>
      </c>
      <c r="F2283" s="3">
        <v>38278</v>
      </c>
      <c r="G2283" s="2" t="str">
        <f>"9781469603629"</f>
        <v>9781469603629</v>
      </c>
      <c r="H2283" s="2" t="s">
        <v>14</v>
      </c>
      <c r="I2283" s="4">
        <v>42887.890972222223</v>
      </c>
      <c r="J2283" s="2" t="s">
        <v>11804</v>
      </c>
    </row>
    <row r="2284" spans="1:10" ht="135" x14ac:dyDescent="0.25">
      <c r="A2284" s="2" t="s">
        <v>2812</v>
      </c>
      <c r="B2284" s="2">
        <v>610.69600000000003</v>
      </c>
      <c r="C2284" s="2" t="s">
        <v>3266</v>
      </c>
      <c r="D2284" s="2" t="s">
        <v>3265</v>
      </c>
      <c r="E2284" s="2" t="s">
        <v>455</v>
      </c>
      <c r="F2284" s="3">
        <v>43538</v>
      </c>
      <c r="G2284" s="2" t="str">
        <f>"9781631013553"</f>
        <v>9781631013553</v>
      </c>
      <c r="H2284" s="2" t="s">
        <v>14</v>
      </c>
      <c r="I2284" s="4">
        <v>43794.85833333333</v>
      </c>
      <c r="J2284" s="2" t="s">
        <v>3267</v>
      </c>
    </row>
    <row r="2285" spans="1:10" ht="135" x14ac:dyDescent="0.25">
      <c r="A2285" s="2" t="s">
        <v>2812</v>
      </c>
      <c r="B2285" s="2">
        <v>618.20092</v>
      </c>
      <c r="C2285" s="2" t="s">
        <v>9338</v>
      </c>
      <c r="D2285" s="2" t="s">
        <v>9337</v>
      </c>
      <c r="E2285" s="2" t="s">
        <v>41</v>
      </c>
      <c r="F2285" s="3">
        <v>42633</v>
      </c>
      <c r="G2285" s="2" t="str">
        <f>"9780817390457"</f>
        <v>9780817390457</v>
      </c>
      <c r="H2285" s="2" t="s">
        <v>14</v>
      </c>
      <c r="I2285" s="4">
        <v>43183.551388888889</v>
      </c>
      <c r="J2285" s="2" t="s">
        <v>9339</v>
      </c>
    </row>
    <row r="2286" spans="1:10" ht="135" x14ac:dyDescent="0.25">
      <c r="A2286" s="2" t="s">
        <v>2812</v>
      </c>
      <c r="C2286" s="2" t="s">
        <v>12283</v>
      </c>
      <c r="D2286" s="2" t="s">
        <v>12281</v>
      </c>
      <c r="E2286" s="2" t="s">
        <v>12282</v>
      </c>
      <c r="F2286" s="3">
        <v>41395</v>
      </c>
      <c r="G2286" s="2" t="str">
        <f>"9780716532057"</f>
        <v>9780716532057</v>
      </c>
      <c r="H2286" s="2" t="s">
        <v>14</v>
      </c>
      <c r="I2286" s="4">
        <v>42820.868055555555</v>
      </c>
      <c r="J2286" s="2" t="s">
        <v>12284</v>
      </c>
    </row>
    <row r="2287" spans="1:10" ht="135" x14ac:dyDescent="0.25">
      <c r="A2287" s="2" t="s">
        <v>2812</v>
      </c>
      <c r="B2287" s="2">
        <v>616.93620949499996</v>
      </c>
      <c r="C2287" s="2" t="s">
        <v>4032</v>
      </c>
      <c r="D2287" s="2" t="s">
        <v>4031</v>
      </c>
      <c r="E2287" s="2" t="s">
        <v>627</v>
      </c>
      <c r="F2287" s="3">
        <v>42887</v>
      </c>
      <c r="G2287" s="2" t="str">
        <f>"9789633861912"</f>
        <v>9789633861912</v>
      </c>
      <c r="H2287" s="2" t="s">
        <v>14</v>
      </c>
      <c r="I2287" s="4">
        <v>43724.65902777778</v>
      </c>
      <c r="J2287" s="2" t="s">
        <v>4033</v>
      </c>
    </row>
    <row r="2288" spans="1:10" ht="135" x14ac:dyDescent="0.25">
      <c r="A2288" s="2" t="s">
        <v>2812</v>
      </c>
      <c r="B2288" s="2">
        <v>610.97299999999996</v>
      </c>
      <c r="C2288" s="2" t="s">
        <v>6866</v>
      </c>
      <c r="D2288" s="2" t="s">
        <v>6865</v>
      </c>
      <c r="E2288" s="2" t="s">
        <v>156</v>
      </c>
      <c r="F2288" s="3">
        <v>41715</v>
      </c>
      <c r="G2288" s="2" t="str">
        <f>"9781469615486"</f>
        <v>9781469615486</v>
      </c>
      <c r="H2288" s="2" t="s">
        <v>14</v>
      </c>
      <c r="I2288" s="4">
        <v>43481.416666666664</v>
      </c>
      <c r="J2288" s="2" t="s">
        <v>6867</v>
      </c>
    </row>
    <row r="2289" spans="1:10" ht="135" x14ac:dyDescent="0.25">
      <c r="A2289" s="2" t="s">
        <v>2812</v>
      </c>
      <c r="B2289" s="2" t="s">
        <v>2813</v>
      </c>
      <c r="C2289" s="2" t="s">
        <v>2814</v>
      </c>
      <c r="D2289" s="2" t="s">
        <v>2811</v>
      </c>
      <c r="E2289" s="2" t="s">
        <v>856</v>
      </c>
      <c r="F2289" s="3">
        <v>43174</v>
      </c>
      <c r="G2289" s="2" t="str">
        <f>"9780295743004"</f>
        <v>9780295743004</v>
      </c>
      <c r="H2289" s="2" t="s">
        <v>14</v>
      </c>
      <c r="I2289" s="4">
        <v>43852.354861111111</v>
      </c>
      <c r="J2289" s="2" t="s">
        <v>2815</v>
      </c>
    </row>
    <row r="2290" spans="1:10" ht="135" x14ac:dyDescent="0.25">
      <c r="A2290" s="2" t="s">
        <v>2812</v>
      </c>
      <c r="B2290" s="2" t="s">
        <v>9121</v>
      </c>
      <c r="C2290" s="2" t="s">
        <v>9122</v>
      </c>
      <c r="D2290" s="2" t="s">
        <v>9120</v>
      </c>
      <c r="E2290" s="2" t="s">
        <v>284</v>
      </c>
      <c r="F2290" s="3">
        <v>42429</v>
      </c>
      <c r="G2290" s="2" t="str">
        <f>"9780824853594"</f>
        <v>9780824853594</v>
      </c>
      <c r="H2290" s="2" t="s">
        <v>14</v>
      </c>
      <c r="I2290" s="4">
        <v>43215.583333333336</v>
      </c>
      <c r="J2290" s="2" t="s">
        <v>9123</v>
      </c>
    </row>
    <row r="2291" spans="1:10" ht="150" x14ac:dyDescent="0.25">
      <c r="A2291" s="2" t="s">
        <v>2812</v>
      </c>
      <c r="B2291" s="2">
        <v>618.20097199999998</v>
      </c>
      <c r="C2291" s="2" t="s">
        <v>5716</v>
      </c>
      <c r="D2291" s="2" t="s">
        <v>5715</v>
      </c>
      <c r="E2291" s="2" t="s">
        <v>156</v>
      </c>
      <c r="F2291" s="3">
        <v>42702</v>
      </c>
      <c r="G2291" s="2" t="str">
        <f>"9781469629421"</f>
        <v>9781469629421</v>
      </c>
      <c r="H2291" s="2" t="s">
        <v>14</v>
      </c>
      <c r="I2291" s="4">
        <v>43578.479166666664</v>
      </c>
      <c r="J2291" s="2" t="s">
        <v>5717</v>
      </c>
    </row>
    <row r="2292" spans="1:10" ht="135" x14ac:dyDescent="0.25">
      <c r="A2292" s="2" t="s">
        <v>3565</v>
      </c>
      <c r="B2292" s="2">
        <v>613.2690973</v>
      </c>
      <c r="C2292" s="2" t="s">
        <v>3566</v>
      </c>
      <c r="D2292" s="2" t="s">
        <v>3564</v>
      </c>
      <c r="E2292" s="2" t="s">
        <v>54</v>
      </c>
      <c r="F2292" s="3">
        <v>43802</v>
      </c>
      <c r="G2292" s="2" t="str">
        <f>"9781503610811"</f>
        <v>9781503610811</v>
      </c>
      <c r="H2292" s="2" t="s">
        <v>14</v>
      </c>
      <c r="I2292" s="4">
        <v>43774.676388888889</v>
      </c>
      <c r="J2292" s="2" t="s">
        <v>3567</v>
      </c>
    </row>
    <row r="2293" spans="1:10" ht="135" x14ac:dyDescent="0.25">
      <c r="A2293" s="2" t="s">
        <v>2012</v>
      </c>
      <c r="B2293" s="2">
        <v>614.46097299999997</v>
      </c>
      <c r="C2293" s="2" t="s">
        <v>2013</v>
      </c>
      <c r="D2293" s="2" t="s">
        <v>2010</v>
      </c>
      <c r="E2293" s="2" t="s">
        <v>2011</v>
      </c>
      <c r="F2293" s="3">
        <v>43172</v>
      </c>
      <c r="G2293" s="2" t="str">
        <f>"9781526115553"</f>
        <v>9781526115553</v>
      </c>
      <c r="H2293" s="2" t="s">
        <v>14</v>
      </c>
      <c r="I2293" s="4">
        <v>43917.851388888892</v>
      </c>
      <c r="J2293" s="2" t="s">
        <v>2014</v>
      </c>
    </row>
    <row r="2294" spans="1:10" ht="135" x14ac:dyDescent="0.25">
      <c r="A2294" s="2" t="s">
        <v>11104</v>
      </c>
      <c r="B2294" s="2">
        <v>616.89</v>
      </c>
      <c r="C2294" s="2" t="s">
        <v>20</v>
      </c>
      <c r="D2294" s="2" t="s">
        <v>11103</v>
      </c>
      <c r="E2294" s="2" t="s">
        <v>37</v>
      </c>
      <c r="F2294" s="3">
        <v>43000</v>
      </c>
      <c r="G2294" s="2" t="str">
        <f>"9783319627281"</f>
        <v>9783319627281</v>
      </c>
      <c r="H2294" s="2" t="s">
        <v>14</v>
      </c>
      <c r="I2294" s="4">
        <v>43017.621527777781</v>
      </c>
      <c r="J2294" s="2" t="s">
        <v>11105</v>
      </c>
    </row>
    <row r="2295" spans="1:10" ht="135" x14ac:dyDescent="0.25">
      <c r="A2295" s="2" t="s">
        <v>90</v>
      </c>
      <c r="B2295" s="2">
        <v>649.33000000000004</v>
      </c>
      <c r="C2295" s="2" t="s">
        <v>91</v>
      </c>
      <c r="D2295" s="2" t="s">
        <v>88</v>
      </c>
      <c r="E2295" s="2" t="s">
        <v>89</v>
      </c>
      <c r="F2295" s="3">
        <v>41913</v>
      </c>
      <c r="G2295" s="2" t="str">
        <f>"9781782384366"</f>
        <v>9781782384366</v>
      </c>
      <c r="H2295" s="2" t="s">
        <v>14</v>
      </c>
      <c r="I2295" s="4">
        <v>44072.936111111114</v>
      </c>
      <c r="J2295" s="2" t="s">
        <v>92</v>
      </c>
    </row>
    <row r="2296" spans="1:10" ht="135" x14ac:dyDescent="0.25">
      <c r="A2296" s="2" t="s">
        <v>5884</v>
      </c>
      <c r="B2296" s="2">
        <v>813.30935609999995</v>
      </c>
      <c r="C2296" s="2" t="s">
        <v>5885</v>
      </c>
      <c r="D2296" s="2" t="s">
        <v>5883</v>
      </c>
      <c r="E2296" s="2" t="s">
        <v>455</v>
      </c>
      <c r="F2296" s="3">
        <v>42459</v>
      </c>
      <c r="G2296" s="2" t="str">
        <f>"9781631012143"</f>
        <v>9781631012143</v>
      </c>
      <c r="H2296" s="2" t="s">
        <v>14</v>
      </c>
      <c r="I2296" s="4">
        <v>43562.824305555558</v>
      </c>
      <c r="J2296" s="2" t="s">
        <v>5886</v>
      </c>
    </row>
    <row r="2297" spans="1:10" ht="135" x14ac:dyDescent="0.25">
      <c r="A2297" s="2" t="s">
        <v>4988</v>
      </c>
      <c r="B2297" s="2">
        <v>615.09670000000006</v>
      </c>
      <c r="C2297" s="2" t="s">
        <v>4989</v>
      </c>
      <c r="D2297" s="2" t="s">
        <v>4987</v>
      </c>
      <c r="E2297" s="2" t="s">
        <v>69</v>
      </c>
      <c r="F2297" s="3">
        <v>42793</v>
      </c>
      <c r="G2297" s="2" t="str">
        <f>"9780253025098"</f>
        <v>9780253025098</v>
      </c>
      <c r="H2297" s="2" t="s">
        <v>14</v>
      </c>
      <c r="I2297" s="4">
        <v>43613.648611111108</v>
      </c>
      <c r="J2297" s="2" t="s">
        <v>4990</v>
      </c>
    </row>
    <row r="2298" spans="1:10" ht="135" x14ac:dyDescent="0.25">
      <c r="A2298" s="2" t="s">
        <v>4803</v>
      </c>
      <c r="B2298" s="2">
        <v>174.2</v>
      </c>
      <c r="C2298" s="2" t="s">
        <v>4804</v>
      </c>
      <c r="D2298" s="2" t="s">
        <v>4802</v>
      </c>
      <c r="E2298" s="2" t="s">
        <v>69</v>
      </c>
      <c r="F2298" s="3">
        <v>43440</v>
      </c>
      <c r="G2298" s="2" t="str">
        <f>"9780253035912"</f>
        <v>9780253035912</v>
      </c>
      <c r="H2298" s="2" t="s">
        <v>14</v>
      </c>
      <c r="I2298" s="4">
        <v>43624.848611111112</v>
      </c>
      <c r="J2298" s="2" t="s">
        <v>4805</v>
      </c>
    </row>
    <row r="2299" spans="1:10" ht="165" x14ac:dyDescent="0.25">
      <c r="A2299" s="2" t="s">
        <v>5442</v>
      </c>
      <c r="B2299" s="2">
        <v>614.58799999999997</v>
      </c>
      <c r="C2299" s="2" t="s">
        <v>265</v>
      </c>
      <c r="D2299" s="2" t="s">
        <v>5441</v>
      </c>
      <c r="E2299" s="2" t="s">
        <v>37</v>
      </c>
      <c r="F2299" s="3">
        <v>42801</v>
      </c>
      <c r="G2299" s="2" t="str">
        <f>"9783319459042"</f>
        <v>9783319459042</v>
      </c>
      <c r="H2299" s="2" t="s">
        <v>14</v>
      </c>
      <c r="I2299" s="4">
        <v>43598.686805555553</v>
      </c>
      <c r="J2299" s="2" t="s">
        <v>5443</v>
      </c>
    </row>
    <row r="2300" spans="1:10" ht="135" x14ac:dyDescent="0.25">
      <c r="A2300" s="2" t="s">
        <v>522</v>
      </c>
      <c r="B2300" s="2">
        <v>616.85882000000004</v>
      </c>
      <c r="C2300" s="2" t="s">
        <v>1093</v>
      </c>
      <c r="D2300" s="2" t="s">
        <v>1092</v>
      </c>
      <c r="E2300" s="2" t="s">
        <v>578</v>
      </c>
      <c r="F2300" s="3">
        <v>41757</v>
      </c>
      <c r="G2300" s="2" t="str">
        <f>"9780252096259"</f>
        <v>9780252096259</v>
      </c>
      <c r="H2300" s="2" t="s">
        <v>14</v>
      </c>
      <c r="I2300" s="4">
        <v>43963.759722222225</v>
      </c>
      <c r="J2300" s="2" t="s">
        <v>1094</v>
      </c>
    </row>
    <row r="2301" spans="1:10" ht="135" x14ac:dyDescent="0.25">
      <c r="A2301" s="2" t="s">
        <v>522</v>
      </c>
      <c r="B2301" s="2">
        <v>616.85239999999999</v>
      </c>
      <c r="C2301" s="2" t="s">
        <v>523</v>
      </c>
      <c r="D2301" s="2" t="s">
        <v>520</v>
      </c>
      <c r="E2301" s="2" t="s">
        <v>521</v>
      </c>
      <c r="F2301" s="3">
        <v>43388</v>
      </c>
      <c r="G2301" s="2" t="str">
        <f>"9789461662613"</f>
        <v>9789461662613</v>
      </c>
      <c r="H2301" s="2" t="s">
        <v>14</v>
      </c>
      <c r="I2301" s="4">
        <v>44016.272222222222</v>
      </c>
      <c r="J2301" s="2" t="s">
        <v>524</v>
      </c>
    </row>
    <row r="2302" spans="1:10" ht="135" x14ac:dyDescent="0.25">
      <c r="A2302" s="2" t="s">
        <v>522</v>
      </c>
      <c r="B2302" s="2" t="s">
        <v>1234</v>
      </c>
      <c r="C2302" s="2" t="s">
        <v>1235</v>
      </c>
      <c r="D2302" s="2" t="s">
        <v>1233</v>
      </c>
      <c r="E2302" s="2" t="s">
        <v>216</v>
      </c>
      <c r="F2302" s="3">
        <v>43586</v>
      </c>
      <c r="G2302" s="2" t="str">
        <f>"9781438473895"</f>
        <v>9781438473895</v>
      </c>
      <c r="H2302" s="2" t="s">
        <v>14</v>
      </c>
      <c r="I2302" s="4">
        <v>43954.647222222222</v>
      </c>
      <c r="J2302" s="2" t="s">
        <v>1236</v>
      </c>
    </row>
    <row r="2303" spans="1:10" ht="195" x14ac:dyDescent="0.25">
      <c r="A2303" s="2" t="s">
        <v>11067</v>
      </c>
      <c r="B2303" s="2">
        <v>618.20022200000005</v>
      </c>
      <c r="C2303" s="2" t="s">
        <v>1808</v>
      </c>
      <c r="D2303" s="2" t="s">
        <v>11066</v>
      </c>
      <c r="E2303" s="2" t="s">
        <v>37</v>
      </c>
      <c r="F2303" s="3">
        <v>42513</v>
      </c>
      <c r="G2303" s="2" t="str">
        <f>"9783319235677"</f>
        <v>9783319235677</v>
      </c>
      <c r="H2303" s="2" t="s">
        <v>14</v>
      </c>
      <c r="I2303" s="4">
        <v>43020.46875</v>
      </c>
      <c r="J2303" s="2" t="s">
        <v>11068</v>
      </c>
    </row>
    <row r="2304" spans="1:10" ht="135" x14ac:dyDescent="0.25">
      <c r="A2304" s="2" t="s">
        <v>8356</v>
      </c>
      <c r="B2304" s="2">
        <v>616.85799999999995</v>
      </c>
      <c r="C2304" s="2" t="s">
        <v>8357</v>
      </c>
      <c r="D2304" s="2" t="s">
        <v>8355</v>
      </c>
      <c r="E2304" s="2" t="s">
        <v>235</v>
      </c>
      <c r="F2304" s="3">
        <v>42199</v>
      </c>
      <c r="G2304" s="2" t="str">
        <f>"9781440833243"</f>
        <v>9781440833243</v>
      </c>
      <c r="H2304" s="2" t="s">
        <v>14</v>
      </c>
      <c r="I2304" s="4">
        <v>43317.780555555553</v>
      </c>
      <c r="J2304" s="2" t="s">
        <v>8358</v>
      </c>
    </row>
    <row r="2305" spans="1:10" ht="135" x14ac:dyDescent="0.25">
      <c r="A2305" s="2" t="s">
        <v>8356</v>
      </c>
      <c r="B2305" s="2">
        <v>615.50972899999999</v>
      </c>
      <c r="C2305" s="2" t="s">
        <v>11860</v>
      </c>
      <c r="D2305" s="2" t="s">
        <v>11859</v>
      </c>
      <c r="E2305" s="2" t="s">
        <v>156</v>
      </c>
      <c r="F2305" s="3">
        <v>42842</v>
      </c>
      <c r="G2305" s="2" t="str">
        <f>"9781469630892"</f>
        <v>9781469630892</v>
      </c>
      <c r="H2305" s="2" t="s">
        <v>14</v>
      </c>
      <c r="I2305" s="4">
        <v>42879.441666666666</v>
      </c>
      <c r="J2305" s="2" t="s">
        <v>11861</v>
      </c>
    </row>
    <row r="2306" spans="1:10" ht="135" x14ac:dyDescent="0.25">
      <c r="A2306" s="2" t="s">
        <v>5125</v>
      </c>
      <c r="B2306" s="2">
        <v>614.51409720000004</v>
      </c>
      <c r="C2306" s="2" t="s">
        <v>5126</v>
      </c>
      <c r="D2306" s="2" t="s">
        <v>5124</v>
      </c>
      <c r="E2306" s="2" t="s">
        <v>164</v>
      </c>
      <c r="F2306" s="3">
        <v>43600</v>
      </c>
      <c r="G2306" s="2" t="str">
        <f>"9780826360564"</f>
        <v>9780826360564</v>
      </c>
      <c r="H2306" s="2" t="s">
        <v>14</v>
      </c>
      <c r="I2306" s="4">
        <v>43609.852083333331</v>
      </c>
      <c r="J2306" s="2" t="s">
        <v>5127</v>
      </c>
    </row>
    <row r="2307" spans="1:10" ht="135" x14ac:dyDescent="0.25">
      <c r="A2307" s="2" t="s">
        <v>4618</v>
      </c>
      <c r="B2307" s="2">
        <v>362.20972999999998</v>
      </c>
      <c r="C2307" s="2" t="s">
        <v>4619</v>
      </c>
      <c r="D2307" s="2" t="s">
        <v>4617</v>
      </c>
      <c r="E2307" s="2" t="s">
        <v>156</v>
      </c>
      <c r="F2307" s="3">
        <v>43542</v>
      </c>
      <c r="G2307" s="2" t="str">
        <f>"9781469648460"</f>
        <v>9781469648460</v>
      </c>
      <c r="H2307" s="2" t="s">
        <v>14</v>
      </c>
      <c r="I2307" s="4">
        <v>43644.75</v>
      </c>
      <c r="J2307" s="2" t="s">
        <v>4620</v>
      </c>
    </row>
    <row r="2308" spans="1:10" ht="135" x14ac:dyDescent="0.25">
      <c r="A2308" s="2" t="s">
        <v>477</v>
      </c>
      <c r="B2308" s="2">
        <v>355.33041094109001</v>
      </c>
      <c r="C2308" s="2" t="s">
        <v>6365</v>
      </c>
      <c r="D2308" s="2" t="s">
        <v>6364</v>
      </c>
      <c r="E2308" s="2" t="s">
        <v>65</v>
      </c>
      <c r="F2308" s="3">
        <v>43398</v>
      </c>
      <c r="G2308" s="2" t="str">
        <f>"9780806162027"</f>
        <v>9780806162027</v>
      </c>
      <c r="H2308" s="2" t="s">
        <v>14</v>
      </c>
      <c r="I2308" s="4">
        <v>43522.423611111109</v>
      </c>
      <c r="J2308" s="2" t="s">
        <v>6366</v>
      </c>
    </row>
    <row r="2309" spans="1:10" ht="135" x14ac:dyDescent="0.25">
      <c r="A2309" s="2" t="s">
        <v>477</v>
      </c>
      <c r="B2309" s="2" t="s">
        <v>2961</v>
      </c>
      <c r="C2309" s="2" t="s">
        <v>2962</v>
      </c>
      <c r="D2309" s="2" t="s">
        <v>2960</v>
      </c>
      <c r="E2309" s="2" t="s">
        <v>50</v>
      </c>
      <c r="F2309" s="3">
        <v>43739</v>
      </c>
      <c r="G2309" s="2" t="str">
        <f>"9781496217417"</f>
        <v>9781496217417</v>
      </c>
      <c r="H2309" s="2" t="s">
        <v>14</v>
      </c>
      <c r="I2309" s="4">
        <v>43838.581944444442</v>
      </c>
      <c r="J2309" s="2" t="s">
        <v>2963</v>
      </c>
    </row>
    <row r="2310" spans="1:10" ht="135" x14ac:dyDescent="0.25">
      <c r="A2310" s="2" t="s">
        <v>477</v>
      </c>
      <c r="B2310" s="2">
        <v>355.02</v>
      </c>
      <c r="C2310" s="2" t="s">
        <v>7746</v>
      </c>
      <c r="D2310" s="2" t="s">
        <v>7745</v>
      </c>
      <c r="E2310" s="2" t="s">
        <v>41</v>
      </c>
      <c r="F2310" s="3">
        <v>42705</v>
      </c>
      <c r="G2310" s="2" t="str">
        <f>"9780817390464"</f>
        <v>9780817390464</v>
      </c>
      <c r="H2310" s="2" t="s">
        <v>14</v>
      </c>
      <c r="I2310" s="4">
        <v>43392.916666666664</v>
      </c>
      <c r="J2310" s="2" t="s">
        <v>7747</v>
      </c>
    </row>
    <row r="2311" spans="1:10" ht="135" x14ac:dyDescent="0.25">
      <c r="A2311" s="2" t="s">
        <v>477</v>
      </c>
      <c r="B2311" s="2">
        <v>358.40300000000002</v>
      </c>
      <c r="C2311" s="2" t="s">
        <v>5505</v>
      </c>
      <c r="D2311" s="2" t="s">
        <v>5504</v>
      </c>
      <c r="E2311" s="2" t="s">
        <v>268</v>
      </c>
      <c r="F2311" s="3">
        <v>43515</v>
      </c>
      <c r="G2311" s="2" t="str">
        <f>"9780815732426"</f>
        <v>9780815732426</v>
      </c>
      <c r="H2311" s="2" t="s">
        <v>14</v>
      </c>
      <c r="I2311" s="4">
        <v>43594.415972222225</v>
      </c>
      <c r="J2311" s="2" t="s">
        <v>5506</v>
      </c>
    </row>
    <row r="2312" spans="1:10" ht="135" x14ac:dyDescent="0.25">
      <c r="A2312" s="2" t="s">
        <v>477</v>
      </c>
      <c r="B2312" s="2" t="s">
        <v>6345</v>
      </c>
      <c r="C2312" s="2" t="s">
        <v>6346</v>
      </c>
      <c r="D2312" s="2" t="s">
        <v>6344</v>
      </c>
      <c r="E2312" s="2" t="s">
        <v>2902</v>
      </c>
      <c r="F2312" s="3">
        <v>41000</v>
      </c>
      <c r="G2312" s="2" t="str">
        <f>"9781603447874"</f>
        <v>9781603447874</v>
      </c>
      <c r="H2312" s="2" t="s">
        <v>14</v>
      </c>
      <c r="I2312" s="4">
        <v>43523.632638888892</v>
      </c>
      <c r="J2312" s="2" t="s">
        <v>6347</v>
      </c>
    </row>
    <row r="2313" spans="1:10" ht="135" x14ac:dyDescent="0.25">
      <c r="A2313" s="2" t="s">
        <v>477</v>
      </c>
      <c r="B2313" s="2">
        <v>355.02093939999901</v>
      </c>
      <c r="C2313" s="2" t="s">
        <v>5436</v>
      </c>
      <c r="D2313" s="2" t="s">
        <v>5435</v>
      </c>
      <c r="E2313" s="2" t="s">
        <v>370</v>
      </c>
      <c r="F2313" s="3">
        <v>42887</v>
      </c>
      <c r="G2313" s="2" t="str">
        <f>"9780884142379"</f>
        <v>9780884142379</v>
      </c>
      <c r="H2313" s="2" t="s">
        <v>14</v>
      </c>
      <c r="I2313" s="4">
        <v>43598.82708333333</v>
      </c>
      <c r="J2313" s="2" t="s">
        <v>5437</v>
      </c>
    </row>
    <row r="2314" spans="1:10" ht="135" x14ac:dyDescent="0.25">
      <c r="A2314" s="2" t="s">
        <v>477</v>
      </c>
      <c r="B2314" s="2">
        <v>355.03357299999999</v>
      </c>
      <c r="C2314" s="2" t="s">
        <v>478</v>
      </c>
      <c r="D2314" s="2" t="s">
        <v>476</v>
      </c>
      <c r="E2314" s="2" t="s">
        <v>54</v>
      </c>
      <c r="F2314" s="3">
        <v>43732</v>
      </c>
      <c r="G2314" s="2" t="str">
        <f>"9781503610668"</f>
        <v>9781503610668</v>
      </c>
      <c r="H2314" s="2" t="s">
        <v>14</v>
      </c>
      <c r="I2314" s="4">
        <v>44020.450694444444</v>
      </c>
      <c r="J2314" s="2" t="s">
        <v>479</v>
      </c>
    </row>
    <row r="2315" spans="1:10" ht="150" x14ac:dyDescent="0.25">
      <c r="A2315" s="2" t="s">
        <v>477</v>
      </c>
      <c r="B2315" s="2" t="s">
        <v>4610</v>
      </c>
      <c r="C2315" s="2" t="s">
        <v>4611</v>
      </c>
      <c r="D2315" s="2" t="s">
        <v>4609</v>
      </c>
      <c r="E2315" s="2" t="s">
        <v>65</v>
      </c>
      <c r="F2315" s="3">
        <v>43496</v>
      </c>
      <c r="G2315" s="2" t="str">
        <f>"9780806163741"</f>
        <v>9780806163741</v>
      </c>
      <c r="H2315" s="2" t="s">
        <v>14</v>
      </c>
      <c r="I2315" s="4">
        <v>43644.751388888886</v>
      </c>
      <c r="J2315" s="2" t="s">
        <v>4612</v>
      </c>
    </row>
    <row r="2316" spans="1:10" ht="135" x14ac:dyDescent="0.25">
      <c r="A2316" s="2" t="s">
        <v>477</v>
      </c>
      <c r="B2316" s="2" t="s">
        <v>5107</v>
      </c>
      <c r="C2316" s="2" t="s">
        <v>5108</v>
      </c>
      <c r="D2316" s="2" t="s">
        <v>5106</v>
      </c>
      <c r="E2316" s="2" t="s">
        <v>578</v>
      </c>
      <c r="F2316" s="3">
        <v>42453</v>
      </c>
      <c r="G2316" s="2" t="str">
        <f>"9780252098246"</f>
        <v>9780252098246</v>
      </c>
      <c r="H2316" s="2" t="s">
        <v>14</v>
      </c>
      <c r="I2316" s="4">
        <v>43610.895833333336</v>
      </c>
      <c r="J2316" s="2" t="s">
        <v>5109</v>
      </c>
    </row>
    <row r="2317" spans="1:10" ht="135" x14ac:dyDescent="0.25">
      <c r="A2317" s="2" t="s">
        <v>477</v>
      </c>
      <c r="B2317" s="2">
        <v>355.02180972999997</v>
      </c>
      <c r="C2317" s="2" t="s">
        <v>973</v>
      </c>
      <c r="D2317" s="2" t="s">
        <v>972</v>
      </c>
      <c r="E2317" s="2" t="s">
        <v>622</v>
      </c>
      <c r="F2317" s="3">
        <v>43899</v>
      </c>
      <c r="G2317" s="2" t="str">
        <f>"9780826274373"</f>
        <v>9780826274373</v>
      </c>
      <c r="H2317" s="2" t="s">
        <v>14</v>
      </c>
      <c r="I2317" s="4">
        <v>43971.397222222222</v>
      </c>
      <c r="J2317" s="2" t="s">
        <v>974</v>
      </c>
    </row>
    <row r="2318" spans="1:10" ht="135" x14ac:dyDescent="0.25">
      <c r="A2318" s="2" t="s">
        <v>477</v>
      </c>
      <c r="B2318" s="2">
        <v>355.03109182100002</v>
      </c>
      <c r="C2318" s="2" t="s">
        <v>3178</v>
      </c>
      <c r="D2318" s="2" t="s">
        <v>3177</v>
      </c>
      <c r="E2318" s="2" t="s">
        <v>216</v>
      </c>
      <c r="F2318" s="3">
        <v>43160</v>
      </c>
      <c r="G2318" s="2" t="str">
        <f>"9781438468747"</f>
        <v>9781438468747</v>
      </c>
      <c r="H2318" s="2" t="s">
        <v>14</v>
      </c>
      <c r="I2318" s="4">
        <v>43802.394444444442</v>
      </c>
      <c r="J2318" s="2" t="s">
        <v>3179</v>
      </c>
    </row>
    <row r="2319" spans="1:10" ht="135" x14ac:dyDescent="0.25">
      <c r="A2319" s="2" t="s">
        <v>477</v>
      </c>
      <c r="B2319" s="2">
        <v>355.02170950999999</v>
      </c>
      <c r="C2319" s="2" t="s">
        <v>8645</v>
      </c>
      <c r="D2319" s="2" t="s">
        <v>8644</v>
      </c>
      <c r="E2319" s="2" t="s">
        <v>499</v>
      </c>
      <c r="F2319" s="3">
        <v>42917</v>
      </c>
      <c r="G2319" s="2" t="str">
        <f>"9781626164543"</f>
        <v>9781626164543</v>
      </c>
      <c r="H2319" s="2" t="s">
        <v>14</v>
      </c>
      <c r="I2319" s="4">
        <v>43279.046527777777</v>
      </c>
      <c r="J2319" s="2" t="s">
        <v>8646</v>
      </c>
    </row>
    <row r="2320" spans="1:10" ht="165" x14ac:dyDescent="0.25">
      <c r="A2320" s="2" t="s">
        <v>477</v>
      </c>
      <c r="B2320" s="2">
        <v>355.02170973090398</v>
      </c>
      <c r="C2320" s="2" t="s">
        <v>1195</v>
      </c>
      <c r="D2320" s="2" t="s">
        <v>1194</v>
      </c>
      <c r="E2320" s="2" t="s">
        <v>33</v>
      </c>
      <c r="F2320" s="3">
        <v>43052</v>
      </c>
      <c r="G2320" s="2" t="str">
        <f>"9781613764794"</f>
        <v>9781613764794</v>
      </c>
      <c r="H2320" s="2" t="s">
        <v>14</v>
      </c>
      <c r="I2320" s="4">
        <v>43956.686805555553</v>
      </c>
      <c r="J2320" s="2" t="s">
        <v>1196</v>
      </c>
    </row>
    <row r="2321" spans="1:10" ht="135" x14ac:dyDescent="0.25">
      <c r="A2321" s="2" t="s">
        <v>477</v>
      </c>
      <c r="B2321" s="2">
        <v>355.02</v>
      </c>
      <c r="C2321" s="2" t="s">
        <v>2306</v>
      </c>
      <c r="D2321" s="2" t="s">
        <v>2305</v>
      </c>
      <c r="E2321" s="2" t="s">
        <v>499</v>
      </c>
      <c r="F2321" s="3">
        <v>43252</v>
      </c>
      <c r="G2321" s="2" t="str">
        <f>"9781626165816"</f>
        <v>9781626165816</v>
      </c>
      <c r="H2321" s="2" t="s">
        <v>14</v>
      </c>
      <c r="I2321" s="4">
        <v>43894.634722222225</v>
      </c>
      <c r="J2321" s="2" t="s">
        <v>2307</v>
      </c>
    </row>
    <row r="2322" spans="1:10" ht="135" x14ac:dyDescent="0.25">
      <c r="A2322" s="2" t="s">
        <v>477</v>
      </c>
      <c r="B2322" s="2">
        <v>355.02</v>
      </c>
      <c r="C2322" s="2" t="s">
        <v>500</v>
      </c>
      <c r="D2322" s="2" t="s">
        <v>498</v>
      </c>
      <c r="E2322" s="2" t="s">
        <v>499</v>
      </c>
      <c r="F2322" s="3">
        <v>43617</v>
      </c>
      <c r="G2322" s="2" t="str">
        <f>"9781626166790"</f>
        <v>9781626166790</v>
      </c>
      <c r="H2322" s="2" t="s">
        <v>14</v>
      </c>
      <c r="I2322" s="4">
        <v>44017.48541666667</v>
      </c>
      <c r="J2322" s="2" t="s">
        <v>501</v>
      </c>
    </row>
    <row r="2323" spans="1:10" ht="135" x14ac:dyDescent="0.25">
      <c r="A2323" s="2" t="s">
        <v>477</v>
      </c>
      <c r="B2323" s="2">
        <v>355.009512490904</v>
      </c>
      <c r="C2323" s="2" t="s">
        <v>2721</v>
      </c>
      <c r="D2323" s="2" t="s">
        <v>2720</v>
      </c>
      <c r="E2323" s="2" t="s">
        <v>65</v>
      </c>
      <c r="F2323" s="3">
        <v>43342</v>
      </c>
      <c r="G2323" s="2" t="str">
        <f>"9780806162973"</f>
        <v>9780806162973</v>
      </c>
      <c r="H2323" s="2" t="s">
        <v>14</v>
      </c>
      <c r="I2323" s="4">
        <v>43861.660416666666</v>
      </c>
      <c r="J2323" s="2" t="s">
        <v>2722</v>
      </c>
    </row>
    <row r="2324" spans="1:10" ht="135" x14ac:dyDescent="0.25">
      <c r="A2324" s="2" t="s">
        <v>477</v>
      </c>
      <c r="B2324" s="2">
        <v>355.02094699999998</v>
      </c>
      <c r="C2324" s="2" t="s">
        <v>1090</v>
      </c>
      <c r="D2324" s="2" t="s">
        <v>1089</v>
      </c>
      <c r="E2324" s="2" t="s">
        <v>499</v>
      </c>
      <c r="F2324" s="3">
        <v>43770</v>
      </c>
      <c r="G2324" s="2" t="str">
        <f>"9781626167353"</f>
        <v>9781626167353</v>
      </c>
      <c r="H2324" s="2" t="s">
        <v>14</v>
      </c>
      <c r="I2324" s="4">
        <v>43964.674305555556</v>
      </c>
      <c r="J2324" s="2" t="s">
        <v>1091</v>
      </c>
    </row>
    <row r="2325" spans="1:10" ht="135" x14ac:dyDescent="0.25">
      <c r="A2325" s="2" t="s">
        <v>477</v>
      </c>
      <c r="B2325" s="2">
        <v>355.02809730000001</v>
      </c>
      <c r="C2325" s="2" t="s">
        <v>5867</v>
      </c>
      <c r="D2325" s="2" t="s">
        <v>5866</v>
      </c>
      <c r="E2325" s="2" t="s">
        <v>499</v>
      </c>
      <c r="F2325" s="3">
        <v>42768</v>
      </c>
      <c r="G2325" s="2" t="str">
        <f>"9781626164116"</f>
        <v>9781626164116</v>
      </c>
      <c r="H2325" s="2" t="s">
        <v>14</v>
      </c>
      <c r="I2325" s="4">
        <v>43563.6875</v>
      </c>
      <c r="J2325" s="2" t="s">
        <v>5868</v>
      </c>
    </row>
    <row r="2326" spans="1:10" ht="135" x14ac:dyDescent="0.25">
      <c r="A2326" s="2" t="s">
        <v>875</v>
      </c>
      <c r="B2326" s="2" t="s">
        <v>876</v>
      </c>
      <c r="C2326" s="2" t="s">
        <v>877</v>
      </c>
      <c r="D2326" s="2" t="s">
        <v>874</v>
      </c>
      <c r="E2326" s="2" t="s">
        <v>156</v>
      </c>
      <c r="F2326" s="3">
        <v>42478</v>
      </c>
      <c r="G2326" s="2" t="str">
        <f>"9781469627557"</f>
        <v>9781469627557</v>
      </c>
      <c r="H2326" s="2" t="s">
        <v>14</v>
      </c>
      <c r="I2326" s="4">
        <v>43978.536805555559</v>
      </c>
      <c r="J2326" s="2" t="s">
        <v>878</v>
      </c>
    </row>
    <row r="2327" spans="1:10" ht="135" x14ac:dyDescent="0.25">
      <c r="A2327" s="2" t="s">
        <v>875</v>
      </c>
      <c r="B2327" s="2" t="s">
        <v>5860</v>
      </c>
      <c r="C2327" s="2" t="s">
        <v>5861</v>
      </c>
      <c r="D2327" s="2" t="s">
        <v>5859</v>
      </c>
      <c r="E2327" s="2" t="s">
        <v>156</v>
      </c>
      <c r="F2327" s="3">
        <v>42107</v>
      </c>
      <c r="G2327" s="2" t="str">
        <f>"9781469623146"</f>
        <v>9781469623146</v>
      </c>
      <c r="H2327" s="2" t="s">
        <v>14</v>
      </c>
      <c r="I2327" s="4">
        <v>43564.479861111111</v>
      </c>
      <c r="J2327" s="2" t="s">
        <v>5862</v>
      </c>
    </row>
    <row r="2328" spans="1:10" ht="135" x14ac:dyDescent="0.25">
      <c r="A2328" s="2" t="s">
        <v>875</v>
      </c>
      <c r="B2328" s="2" t="s">
        <v>12761</v>
      </c>
      <c r="C2328" s="2" t="s">
        <v>12762</v>
      </c>
      <c r="D2328" s="2" t="s">
        <v>12760</v>
      </c>
      <c r="E2328" s="2" t="s">
        <v>180</v>
      </c>
      <c r="F2328" s="3">
        <v>42111</v>
      </c>
      <c r="G2328" s="2" t="str">
        <f>"9781479866786"</f>
        <v>9781479866786</v>
      </c>
      <c r="H2328" s="2" t="s">
        <v>14</v>
      </c>
      <c r="I2328" s="4">
        <v>42776.790972222225</v>
      </c>
      <c r="J2328" s="2" t="s">
        <v>12763</v>
      </c>
    </row>
    <row r="2329" spans="1:10" ht="135" x14ac:dyDescent="0.25">
      <c r="A2329" s="2" t="s">
        <v>875</v>
      </c>
      <c r="B2329" s="2" t="s">
        <v>7946</v>
      </c>
      <c r="C2329" s="2" t="s">
        <v>7947</v>
      </c>
      <c r="D2329" s="2" t="s">
        <v>7945</v>
      </c>
      <c r="E2329" s="2" t="s">
        <v>156</v>
      </c>
      <c r="F2329" s="3">
        <v>42107</v>
      </c>
      <c r="G2329" s="2" t="str">
        <f>"9781469623177"</f>
        <v>9781469623177</v>
      </c>
      <c r="H2329" s="2" t="s">
        <v>14</v>
      </c>
      <c r="I2329" s="4">
        <v>43373.35</v>
      </c>
      <c r="J2329" s="2" t="s">
        <v>7948</v>
      </c>
    </row>
    <row r="2330" spans="1:10" ht="135" x14ac:dyDescent="0.25">
      <c r="A2330" s="2" t="s">
        <v>875</v>
      </c>
      <c r="B2330" s="2">
        <v>355.03350903299997</v>
      </c>
      <c r="C2330" s="2" t="s">
        <v>10684</v>
      </c>
      <c r="D2330" s="2" t="s">
        <v>10683</v>
      </c>
      <c r="E2330" s="2" t="s">
        <v>69</v>
      </c>
      <c r="F2330" s="3">
        <v>42877</v>
      </c>
      <c r="G2330" s="2" t="str">
        <f>"9780253026798"</f>
        <v>9780253026798</v>
      </c>
      <c r="H2330" s="2" t="s">
        <v>14</v>
      </c>
      <c r="I2330" s="4">
        <v>43042.722916666666</v>
      </c>
      <c r="J2330" s="2" t="s">
        <v>10685</v>
      </c>
    </row>
    <row r="2331" spans="1:10" ht="150" x14ac:dyDescent="0.25">
      <c r="A2331" s="2" t="s">
        <v>875</v>
      </c>
      <c r="B2331" s="2">
        <v>359.00972999999999</v>
      </c>
      <c r="C2331" s="2" t="s">
        <v>5374</v>
      </c>
      <c r="D2331" s="2" t="s">
        <v>5373</v>
      </c>
      <c r="E2331" s="2" t="s">
        <v>156</v>
      </c>
      <c r="F2331" s="3">
        <v>43255</v>
      </c>
      <c r="G2331" s="2" t="str">
        <f>"9781469640464"</f>
        <v>9781469640464</v>
      </c>
      <c r="H2331" s="2" t="s">
        <v>14</v>
      </c>
      <c r="I2331" s="4">
        <v>43603.607638888891</v>
      </c>
      <c r="J2331" s="2" t="s">
        <v>5375</v>
      </c>
    </row>
    <row r="2332" spans="1:10" ht="135" x14ac:dyDescent="0.25">
      <c r="A2332" s="2" t="s">
        <v>2857</v>
      </c>
      <c r="B2332" s="2" t="s">
        <v>4728</v>
      </c>
      <c r="C2332" s="2" t="s">
        <v>4729</v>
      </c>
      <c r="D2332" s="2" t="s">
        <v>4727</v>
      </c>
      <c r="E2332" s="2" t="s">
        <v>499</v>
      </c>
      <c r="F2332" s="3">
        <v>42031</v>
      </c>
      <c r="G2332" s="2" t="str">
        <f>"9781626161948"</f>
        <v>9781626161948</v>
      </c>
      <c r="H2332" s="2" t="s">
        <v>14</v>
      </c>
      <c r="I2332" s="4">
        <v>43634.625694444447</v>
      </c>
      <c r="J2332" s="2" t="s">
        <v>4730</v>
      </c>
    </row>
    <row r="2333" spans="1:10" ht="135" x14ac:dyDescent="0.25">
      <c r="A2333" s="2" t="s">
        <v>2857</v>
      </c>
      <c r="B2333" s="2" t="s">
        <v>2858</v>
      </c>
      <c r="C2333" s="2" t="s">
        <v>2859</v>
      </c>
      <c r="D2333" s="2" t="s">
        <v>2856</v>
      </c>
      <c r="E2333" s="2" t="s">
        <v>54</v>
      </c>
      <c r="F2333" s="3">
        <v>42815</v>
      </c>
      <c r="G2333" s="2" t="str">
        <f>"9781503601628"</f>
        <v>9781503601628</v>
      </c>
      <c r="H2333" s="2" t="s">
        <v>14</v>
      </c>
      <c r="I2333" s="4">
        <v>43848.575694444444</v>
      </c>
      <c r="J2333" s="2" t="s">
        <v>2860</v>
      </c>
    </row>
    <row r="2334" spans="1:10" ht="135" x14ac:dyDescent="0.25">
      <c r="A2334" s="2" t="s">
        <v>834</v>
      </c>
      <c r="B2334" s="2" t="s">
        <v>835</v>
      </c>
      <c r="C2334" s="2" t="s">
        <v>836</v>
      </c>
      <c r="D2334" s="2" t="s">
        <v>833</v>
      </c>
      <c r="E2334" s="2" t="s">
        <v>156</v>
      </c>
      <c r="F2334" s="3">
        <v>43472</v>
      </c>
      <c r="G2334" s="2" t="str">
        <f>"9781469645278"</f>
        <v>9781469645278</v>
      </c>
      <c r="H2334" s="2" t="s">
        <v>14</v>
      </c>
      <c r="I2334" s="4">
        <v>43982.750694444447</v>
      </c>
      <c r="J2334" s="2" t="s">
        <v>837</v>
      </c>
    </row>
    <row r="2335" spans="1:10" ht="135" x14ac:dyDescent="0.25">
      <c r="A2335" s="2" t="s">
        <v>7677</v>
      </c>
      <c r="B2335" s="2">
        <v>615.78830000000005</v>
      </c>
      <c r="C2335" s="2" t="s">
        <v>7678</v>
      </c>
      <c r="D2335" s="2" t="s">
        <v>7676</v>
      </c>
      <c r="E2335" s="2" t="s">
        <v>130</v>
      </c>
      <c r="F2335" s="3">
        <v>43151</v>
      </c>
      <c r="G2335" s="2" t="str">
        <f>"9780813052267"</f>
        <v>9780813052267</v>
      </c>
      <c r="H2335" s="2" t="s">
        <v>14</v>
      </c>
      <c r="I2335" s="4">
        <v>43400.413888888892</v>
      </c>
      <c r="J2335" s="2" t="s">
        <v>7679</v>
      </c>
    </row>
    <row r="2336" spans="1:10" ht="135" x14ac:dyDescent="0.25">
      <c r="A2336" s="2" t="s">
        <v>74</v>
      </c>
      <c r="B2336" s="2">
        <v>190</v>
      </c>
      <c r="C2336" s="2" t="s">
        <v>1263</v>
      </c>
      <c r="D2336" s="2" t="s">
        <v>7767</v>
      </c>
      <c r="E2336" s="2" t="s">
        <v>37</v>
      </c>
      <c r="F2336" s="3">
        <v>42788</v>
      </c>
      <c r="G2336" s="2" t="str">
        <f>"9783319503615"</f>
        <v>9783319503615</v>
      </c>
      <c r="H2336" s="2" t="s">
        <v>14</v>
      </c>
      <c r="I2336" s="4">
        <v>43391.46875</v>
      </c>
      <c r="J2336" s="2" t="s">
        <v>7768</v>
      </c>
    </row>
    <row r="2337" spans="1:10" ht="150" x14ac:dyDescent="0.25">
      <c r="A2337" s="2" t="s">
        <v>74</v>
      </c>
      <c r="B2337" s="2">
        <v>193</v>
      </c>
      <c r="C2337" s="2" t="s">
        <v>9365</v>
      </c>
      <c r="D2337" s="2" t="s">
        <v>9364</v>
      </c>
      <c r="E2337" s="2" t="s">
        <v>11</v>
      </c>
      <c r="F2337" s="3">
        <v>40064</v>
      </c>
      <c r="G2337" s="2" t="str">
        <f>"9780813217796"</f>
        <v>9780813217796</v>
      </c>
      <c r="H2337" s="2" t="s">
        <v>14</v>
      </c>
      <c r="I2337" s="4">
        <v>43178.767361111109</v>
      </c>
      <c r="J2337" s="2" t="s">
        <v>9366</v>
      </c>
    </row>
    <row r="2338" spans="1:10" ht="135" x14ac:dyDescent="0.25">
      <c r="A2338" s="2" t="s">
        <v>74</v>
      </c>
      <c r="B2338" s="2">
        <v>100</v>
      </c>
      <c r="C2338" s="2" t="s">
        <v>9042</v>
      </c>
      <c r="D2338" s="2" t="s">
        <v>9041</v>
      </c>
      <c r="E2338" s="2" t="s">
        <v>73</v>
      </c>
      <c r="F2338" s="3">
        <v>42217</v>
      </c>
      <c r="G2338" s="2" t="str">
        <f>"9781937561840"</f>
        <v>9781937561840</v>
      </c>
      <c r="H2338" s="2" t="s">
        <v>14</v>
      </c>
      <c r="I2338" s="4">
        <v>43221.736805555556</v>
      </c>
      <c r="J2338" s="2" t="s">
        <v>9043</v>
      </c>
    </row>
    <row r="2339" spans="1:10" ht="135" x14ac:dyDescent="0.25">
      <c r="A2339" s="2" t="s">
        <v>74</v>
      </c>
      <c r="B2339" s="2">
        <v>193</v>
      </c>
      <c r="C2339" s="2" t="s">
        <v>7785</v>
      </c>
      <c r="D2339" s="2" t="s">
        <v>7784</v>
      </c>
      <c r="E2339" s="2" t="s">
        <v>73</v>
      </c>
      <c r="F2339" s="3">
        <v>39163</v>
      </c>
      <c r="G2339" s="2" t="str">
        <f>"9780816654192"</f>
        <v>9780816654192</v>
      </c>
      <c r="H2339" s="2" t="s">
        <v>14</v>
      </c>
      <c r="I2339" s="4">
        <v>43389.965277777781</v>
      </c>
      <c r="J2339" s="2" t="s">
        <v>7786</v>
      </c>
    </row>
    <row r="2340" spans="1:10" ht="135" x14ac:dyDescent="0.25">
      <c r="A2340" s="2" t="s">
        <v>74</v>
      </c>
      <c r="B2340" s="2">
        <v>193</v>
      </c>
      <c r="C2340" s="2" t="s">
        <v>7966</v>
      </c>
      <c r="D2340" s="2" t="s">
        <v>7965</v>
      </c>
      <c r="E2340" s="2" t="s">
        <v>216</v>
      </c>
      <c r="F2340" s="3">
        <v>43252</v>
      </c>
      <c r="G2340" s="2" t="str">
        <f>"9781438469850"</f>
        <v>9781438469850</v>
      </c>
      <c r="H2340" s="2" t="s">
        <v>14</v>
      </c>
      <c r="I2340" s="4">
        <v>43369.797222222223</v>
      </c>
      <c r="J2340" s="2" t="s">
        <v>7967</v>
      </c>
    </row>
    <row r="2341" spans="1:10" ht="135" x14ac:dyDescent="0.25">
      <c r="A2341" s="2" t="s">
        <v>74</v>
      </c>
      <c r="B2341" s="2">
        <v>194</v>
      </c>
      <c r="C2341" s="2" t="s">
        <v>10879</v>
      </c>
      <c r="D2341" s="2" t="s">
        <v>10878</v>
      </c>
      <c r="E2341" s="2" t="s">
        <v>216</v>
      </c>
      <c r="F2341" s="3">
        <v>42979</v>
      </c>
      <c r="G2341" s="2" t="str">
        <f>"9781438466071"</f>
        <v>9781438466071</v>
      </c>
      <c r="H2341" s="2" t="s">
        <v>14</v>
      </c>
      <c r="I2341" s="4">
        <v>43030.887499999997</v>
      </c>
      <c r="J2341" s="2" t="s">
        <v>10880</v>
      </c>
    </row>
    <row r="2342" spans="1:10" ht="135" x14ac:dyDescent="0.25">
      <c r="A2342" s="2" t="s">
        <v>74</v>
      </c>
      <c r="B2342" s="2">
        <v>193</v>
      </c>
      <c r="C2342" s="2" t="s">
        <v>2262</v>
      </c>
      <c r="D2342" s="2" t="s">
        <v>2261</v>
      </c>
      <c r="E2342" s="2" t="s">
        <v>216</v>
      </c>
      <c r="F2342" s="3">
        <v>43374</v>
      </c>
      <c r="G2342" s="2" t="str">
        <f>"9781438472218"</f>
        <v>9781438472218</v>
      </c>
      <c r="H2342" s="2" t="s">
        <v>14</v>
      </c>
      <c r="I2342" s="4">
        <v>43896.771527777775</v>
      </c>
      <c r="J2342" s="2" t="s">
        <v>2263</v>
      </c>
    </row>
    <row r="2343" spans="1:10" ht="135" x14ac:dyDescent="0.25">
      <c r="A2343" s="2" t="s">
        <v>74</v>
      </c>
      <c r="B2343" s="2" t="s">
        <v>1660</v>
      </c>
      <c r="C2343" s="2" t="s">
        <v>10979</v>
      </c>
      <c r="D2343" s="2" t="s">
        <v>10978</v>
      </c>
      <c r="E2343" s="2" t="s">
        <v>69</v>
      </c>
      <c r="F2343" s="3">
        <v>42037</v>
      </c>
      <c r="G2343" s="2" t="str">
        <f>"9780253015655"</f>
        <v>9780253015655</v>
      </c>
      <c r="H2343" s="2" t="s">
        <v>14</v>
      </c>
      <c r="I2343" s="4">
        <v>43024.85833333333</v>
      </c>
      <c r="J2343" s="2" t="s">
        <v>10980</v>
      </c>
    </row>
    <row r="2344" spans="1:10" ht="135" x14ac:dyDescent="0.25">
      <c r="A2344" s="2" t="s">
        <v>74</v>
      </c>
      <c r="B2344" s="2">
        <v>111.85089960000001</v>
      </c>
      <c r="C2344" s="2" t="s">
        <v>935</v>
      </c>
      <c r="D2344" s="2" t="s">
        <v>933</v>
      </c>
      <c r="E2344" s="2" t="s">
        <v>934</v>
      </c>
      <c r="F2344" s="3">
        <v>43719</v>
      </c>
      <c r="G2344" s="2" t="str">
        <f>"9781789380248"</f>
        <v>9781789380248</v>
      </c>
      <c r="H2344" s="2" t="s">
        <v>14</v>
      </c>
      <c r="I2344" s="4">
        <v>43974.619444444441</v>
      </c>
      <c r="J2344" s="2" t="s">
        <v>936</v>
      </c>
    </row>
    <row r="2345" spans="1:10" ht="150" x14ac:dyDescent="0.25">
      <c r="A2345" s="2" t="s">
        <v>74</v>
      </c>
      <c r="C2345" s="2" t="s">
        <v>7483</v>
      </c>
      <c r="D2345" s="2" t="s">
        <v>7482</v>
      </c>
      <c r="E2345" s="2" t="s">
        <v>212</v>
      </c>
      <c r="F2345" s="3">
        <v>42390</v>
      </c>
      <c r="G2345" s="2" t="str">
        <f>"9789956763153"</f>
        <v>9789956763153</v>
      </c>
      <c r="H2345" s="2" t="s">
        <v>14</v>
      </c>
      <c r="I2345" s="4">
        <v>43413.502083333333</v>
      </c>
      <c r="J2345" s="2" t="s">
        <v>7484</v>
      </c>
    </row>
    <row r="2346" spans="1:10" ht="135" x14ac:dyDescent="0.25">
      <c r="A2346" s="2" t="s">
        <v>74</v>
      </c>
      <c r="B2346" s="2" t="s">
        <v>10219</v>
      </c>
      <c r="C2346" s="2" t="s">
        <v>10220</v>
      </c>
      <c r="D2346" s="2" t="s">
        <v>10218</v>
      </c>
      <c r="E2346" s="2" t="s">
        <v>216</v>
      </c>
      <c r="F2346" s="3">
        <v>42675</v>
      </c>
      <c r="G2346" s="2" t="str">
        <f>"9781438459660"</f>
        <v>9781438459660</v>
      </c>
      <c r="H2346" s="2" t="s">
        <v>14</v>
      </c>
      <c r="I2346" s="4">
        <v>43081.677777777775</v>
      </c>
      <c r="J2346" s="2" t="s">
        <v>10221</v>
      </c>
    </row>
    <row r="2347" spans="1:10" ht="135" x14ac:dyDescent="0.25">
      <c r="A2347" s="2" t="s">
        <v>74</v>
      </c>
      <c r="B2347" s="2">
        <v>191</v>
      </c>
      <c r="C2347" s="2" t="s">
        <v>7950</v>
      </c>
      <c r="D2347" s="2" t="s">
        <v>7949</v>
      </c>
      <c r="E2347" s="2" t="s">
        <v>216</v>
      </c>
      <c r="F2347" s="3">
        <v>42917</v>
      </c>
      <c r="G2347" s="2" t="str">
        <f>"9781438465562"</f>
        <v>9781438465562</v>
      </c>
      <c r="H2347" s="2" t="s">
        <v>14</v>
      </c>
      <c r="I2347" s="4">
        <v>43372.628472222219</v>
      </c>
      <c r="J2347" s="2" t="s">
        <v>7951</v>
      </c>
    </row>
    <row r="2348" spans="1:10" ht="135" x14ac:dyDescent="0.25">
      <c r="A2348" s="2" t="s">
        <v>74</v>
      </c>
      <c r="C2348" s="2" t="s">
        <v>6338</v>
      </c>
      <c r="D2348" s="2" t="s">
        <v>6337</v>
      </c>
      <c r="E2348" s="2" t="s">
        <v>11</v>
      </c>
      <c r="F2348" s="3">
        <v>43140</v>
      </c>
      <c r="G2348" s="2" t="str">
        <f>"9780813229881"</f>
        <v>9780813229881</v>
      </c>
      <c r="H2348" s="2" t="s">
        <v>14</v>
      </c>
      <c r="I2348" s="4">
        <v>43524.448611111111</v>
      </c>
      <c r="J2348" s="2" t="s">
        <v>6339</v>
      </c>
    </row>
    <row r="2349" spans="1:10" ht="135" x14ac:dyDescent="0.25">
      <c r="A2349" s="2" t="s">
        <v>74</v>
      </c>
      <c r="B2349" s="2">
        <v>169</v>
      </c>
      <c r="C2349" s="2" t="s">
        <v>1493</v>
      </c>
      <c r="D2349" s="2" t="s">
        <v>1492</v>
      </c>
      <c r="E2349" s="2" t="s">
        <v>11</v>
      </c>
      <c r="F2349" s="3">
        <v>43405</v>
      </c>
      <c r="G2349" s="2" t="str">
        <f>"9780813231457"</f>
        <v>9780813231457</v>
      </c>
      <c r="H2349" s="2" t="s">
        <v>14</v>
      </c>
      <c r="I2349" s="4">
        <v>43941.469444444447</v>
      </c>
      <c r="J2349" s="2" t="s">
        <v>1494</v>
      </c>
    </row>
    <row r="2350" spans="1:10" ht="135" x14ac:dyDescent="0.25">
      <c r="A2350" s="2" t="s">
        <v>74</v>
      </c>
      <c r="B2350" s="2" t="s">
        <v>11124</v>
      </c>
      <c r="C2350" s="2" t="s">
        <v>11125</v>
      </c>
      <c r="D2350" s="2" t="s">
        <v>11123</v>
      </c>
      <c r="E2350" s="2" t="s">
        <v>216</v>
      </c>
      <c r="F2350" s="3">
        <v>41974</v>
      </c>
      <c r="G2350" s="2" t="str">
        <f>"9781438453668"</f>
        <v>9781438453668</v>
      </c>
      <c r="H2350" s="2" t="s">
        <v>14</v>
      </c>
      <c r="I2350" s="4">
        <v>43016.869444444441</v>
      </c>
      <c r="J2350" s="2" t="s">
        <v>11126</v>
      </c>
    </row>
    <row r="2351" spans="1:10" ht="135" x14ac:dyDescent="0.25">
      <c r="A2351" s="2" t="s">
        <v>74</v>
      </c>
      <c r="B2351" s="2" t="s">
        <v>1566</v>
      </c>
      <c r="C2351" s="2" t="s">
        <v>1567</v>
      </c>
      <c r="D2351" s="2" t="s">
        <v>1565</v>
      </c>
      <c r="E2351" s="2" t="s">
        <v>1291</v>
      </c>
      <c r="F2351" s="3">
        <v>38061</v>
      </c>
      <c r="G2351" s="2" t="str">
        <f>"9781603840033"</f>
        <v>9781603840033</v>
      </c>
      <c r="H2351" s="2" t="s">
        <v>14</v>
      </c>
      <c r="I2351" s="4">
        <v>43937.49722222222</v>
      </c>
      <c r="J2351" s="2" t="s">
        <v>1568</v>
      </c>
    </row>
    <row r="2352" spans="1:10" ht="135" x14ac:dyDescent="0.25">
      <c r="A2352" s="2" t="s">
        <v>74</v>
      </c>
      <c r="B2352" s="2" t="s">
        <v>10026</v>
      </c>
      <c r="C2352" s="2" t="s">
        <v>10027</v>
      </c>
      <c r="D2352" s="2" t="s">
        <v>10025</v>
      </c>
      <c r="E2352" s="2" t="s">
        <v>499</v>
      </c>
      <c r="F2352" s="3">
        <v>42996</v>
      </c>
      <c r="G2352" s="2" t="str">
        <f>"9781626164741"</f>
        <v>9781626164741</v>
      </c>
      <c r="H2352" s="2" t="s">
        <v>14</v>
      </c>
      <c r="I2352" s="4">
        <v>43110.737500000003</v>
      </c>
      <c r="J2352" s="2" t="s">
        <v>10028</v>
      </c>
    </row>
    <row r="2353" spans="1:10" ht="135" x14ac:dyDescent="0.25">
      <c r="A2353" s="2" t="s">
        <v>74</v>
      </c>
      <c r="B2353" s="2">
        <v>185</v>
      </c>
      <c r="C2353" s="2" t="s">
        <v>4518</v>
      </c>
      <c r="D2353" s="2" t="s">
        <v>4517</v>
      </c>
      <c r="E2353" s="2" t="s">
        <v>216</v>
      </c>
      <c r="F2353" s="3">
        <v>43132</v>
      </c>
      <c r="G2353" s="2" t="str">
        <f>"9781438468310"</f>
        <v>9781438468310</v>
      </c>
      <c r="H2353" s="2" t="s">
        <v>14</v>
      </c>
      <c r="I2353" s="4">
        <v>43655.588194444441</v>
      </c>
      <c r="J2353" s="2" t="s">
        <v>4519</v>
      </c>
    </row>
    <row r="2354" spans="1:10" ht="135" x14ac:dyDescent="0.25">
      <c r="A2354" s="2" t="s">
        <v>74</v>
      </c>
      <c r="B2354" s="2">
        <v>194</v>
      </c>
      <c r="C2354" s="2" t="s">
        <v>3838</v>
      </c>
      <c r="D2354" s="2" t="s">
        <v>3837</v>
      </c>
      <c r="E2354" s="2" t="s">
        <v>521</v>
      </c>
      <c r="F2354" s="3">
        <v>43115</v>
      </c>
      <c r="G2354" s="2" t="str">
        <f>"9789461662422"</f>
        <v>9789461662422</v>
      </c>
      <c r="H2354" s="2" t="s">
        <v>14</v>
      </c>
      <c r="I2354" s="4">
        <v>43751.663888888892</v>
      </c>
      <c r="J2354" s="2" t="s">
        <v>3839</v>
      </c>
    </row>
    <row r="2355" spans="1:10" ht="135" x14ac:dyDescent="0.25">
      <c r="A2355" s="2" t="s">
        <v>74</v>
      </c>
      <c r="B2355" s="2" t="s">
        <v>5425</v>
      </c>
      <c r="C2355" s="2" t="s">
        <v>5426</v>
      </c>
      <c r="D2355" s="2" t="s">
        <v>5424</v>
      </c>
      <c r="E2355" s="2" t="s">
        <v>216</v>
      </c>
      <c r="F2355" s="3">
        <v>43374</v>
      </c>
      <c r="G2355" s="2" t="str">
        <f>"9781438471297"</f>
        <v>9781438471297</v>
      </c>
      <c r="H2355" s="2" t="s">
        <v>14</v>
      </c>
      <c r="I2355" s="4">
        <v>43599.665277777778</v>
      </c>
      <c r="J2355" s="2" t="s">
        <v>5427</v>
      </c>
    </row>
    <row r="2356" spans="1:10" ht="135" x14ac:dyDescent="0.25">
      <c r="A2356" s="2" t="s">
        <v>74</v>
      </c>
      <c r="B2356" s="2">
        <v>179.3</v>
      </c>
      <c r="C2356" s="2" t="s">
        <v>4266</v>
      </c>
      <c r="D2356" s="2" t="s">
        <v>4265</v>
      </c>
      <c r="E2356" s="2" t="s">
        <v>97</v>
      </c>
      <c r="F2356" s="3">
        <v>42339</v>
      </c>
      <c r="G2356" s="2" t="str">
        <f>"9780231540537"</f>
        <v>9780231540537</v>
      </c>
      <c r="H2356" s="2" t="s">
        <v>14</v>
      </c>
      <c r="I2356" s="4">
        <v>43688.529166666667</v>
      </c>
      <c r="J2356" s="2" t="s">
        <v>4267</v>
      </c>
    </row>
    <row r="2357" spans="1:10" ht="135" x14ac:dyDescent="0.25">
      <c r="A2357" s="2" t="s">
        <v>74</v>
      </c>
      <c r="B2357" s="2">
        <v>171.3</v>
      </c>
      <c r="C2357" s="2" t="s">
        <v>11317</v>
      </c>
      <c r="D2357" s="2" t="s">
        <v>11316</v>
      </c>
      <c r="E2357" s="2" t="s">
        <v>11</v>
      </c>
      <c r="F2357" s="3">
        <v>42137</v>
      </c>
      <c r="G2357" s="2" t="str">
        <f>"9780813227405"</f>
        <v>9780813227405</v>
      </c>
      <c r="H2357" s="2" t="s">
        <v>14</v>
      </c>
      <c r="I2357" s="4">
        <v>42990.451388888891</v>
      </c>
      <c r="J2357" s="2" t="s">
        <v>11318</v>
      </c>
    </row>
    <row r="2358" spans="1:10" ht="135" x14ac:dyDescent="0.25">
      <c r="A2358" s="2" t="s">
        <v>74</v>
      </c>
      <c r="B2358" s="2">
        <v>128</v>
      </c>
      <c r="C2358" s="2" t="s">
        <v>10169</v>
      </c>
      <c r="D2358" s="2" t="s">
        <v>10168</v>
      </c>
      <c r="E2358" s="2" t="s">
        <v>674</v>
      </c>
      <c r="F2358" s="3">
        <v>42919</v>
      </c>
      <c r="G2358" s="2" t="str">
        <f>"9780823276097"</f>
        <v>9780823276097</v>
      </c>
      <c r="H2358" s="2" t="s">
        <v>14</v>
      </c>
      <c r="I2358" s="4">
        <v>43088.463888888888</v>
      </c>
      <c r="J2358" s="2" t="s">
        <v>10170</v>
      </c>
    </row>
    <row r="2359" spans="1:10" ht="135" x14ac:dyDescent="0.25">
      <c r="A2359" s="2" t="s">
        <v>74</v>
      </c>
      <c r="C2359" s="2" t="s">
        <v>394</v>
      </c>
      <c r="D2359" s="2" t="s">
        <v>393</v>
      </c>
      <c r="E2359" s="2" t="s">
        <v>11</v>
      </c>
      <c r="F2359" s="3">
        <v>43857</v>
      </c>
      <c r="G2359" s="2" t="str">
        <f>"9780813232591"</f>
        <v>9780813232591</v>
      </c>
      <c r="H2359" s="2" t="s">
        <v>14</v>
      </c>
      <c r="I2359" s="4">
        <v>44027.27847222222</v>
      </c>
      <c r="J2359" s="2" t="s">
        <v>395</v>
      </c>
    </row>
    <row r="2360" spans="1:10" ht="135" x14ac:dyDescent="0.25">
      <c r="A2360" s="2" t="s">
        <v>74</v>
      </c>
      <c r="B2360" s="2">
        <v>194</v>
      </c>
      <c r="C2360" s="2" t="s">
        <v>1908</v>
      </c>
      <c r="D2360" s="2" t="s">
        <v>1907</v>
      </c>
      <c r="E2360" s="2" t="s">
        <v>80</v>
      </c>
      <c r="F2360" s="3">
        <v>42181</v>
      </c>
      <c r="G2360" s="2" t="str">
        <f>"9783653056112"</f>
        <v>9783653056112</v>
      </c>
      <c r="H2360" s="2" t="s">
        <v>14</v>
      </c>
      <c r="I2360" s="4">
        <v>43922.070833333331</v>
      </c>
      <c r="J2360" s="2" t="s">
        <v>1909</v>
      </c>
    </row>
    <row r="2361" spans="1:10" ht="165" x14ac:dyDescent="0.25">
      <c r="A2361" s="2" t="s">
        <v>74</v>
      </c>
      <c r="B2361" s="2">
        <v>181</v>
      </c>
      <c r="C2361" s="2" t="s">
        <v>3884</v>
      </c>
      <c r="D2361" s="2" t="s">
        <v>3883</v>
      </c>
      <c r="E2361" s="2" t="s">
        <v>216</v>
      </c>
      <c r="F2361" s="3">
        <v>42522</v>
      </c>
      <c r="G2361" s="2" t="str">
        <f>"9781438460468"</f>
        <v>9781438460468</v>
      </c>
      <c r="H2361" s="2" t="s">
        <v>14</v>
      </c>
      <c r="I2361" s="4">
        <v>43744.999305555553</v>
      </c>
      <c r="J2361" s="2" t="s">
        <v>3885</v>
      </c>
    </row>
    <row r="2362" spans="1:10" ht="135" x14ac:dyDescent="0.25">
      <c r="A2362" s="2" t="s">
        <v>74</v>
      </c>
      <c r="B2362" s="2" t="s">
        <v>8260</v>
      </c>
      <c r="C2362" s="2" t="s">
        <v>8261</v>
      </c>
      <c r="D2362" s="2" t="s">
        <v>8259</v>
      </c>
      <c r="E2362" s="2" t="s">
        <v>1291</v>
      </c>
      <c r="F2362" s="3">
        <v>41341</v>
      </c>
      <c r="G2362" s="2" t="str">
        <f>"9781603849890"</f>
        <v>9781603849890</v>
      </c>
      <c r="H2362" s="2" t="s">
        <v>14</v>
      </c>
      <c r="I2362" s="4">
        <v>43329.597916666666</v>
      </c>
      <c r="J2362" s="2" t="s">
        <v>8262</v>
      </c>
    </row>
    <row r="2363" spans="1:10" ht="135" x14ac:dyDescent="0.25">
      <c r="A2363" s="2" t="s">
        <v>74</v>
      </c>
      <c r="B2363" s="2">
        <v>170</v>
      </c>
      <c r="C2363" s="2" t="s">
        <v>6659</v>
      </c>
      <c r="D2363" s="2" t="s">
        <v>6658</v>
      </c>
      <c r="E2363" s="2" t="s">
        <v>390</v>
      </c>
      <c r="F2363" s="3">
        <v>42475</v>
      </c>
      <c r="G2363" s="2" t="str">
        <f>"9780268087043"</f>
        <v>9780268087043</v>
      </c>
      <c r="H2363" s="2" t="s">
        <v>14</v>
      </c>
      <c r="I2363" s="4">
        <v>43499.65347222222</v>
      </c>
      <c r="J2363" s="2" t="s">
        <v>6660</v>
      </c>
    </row>
    <row r="2364" spans="1:10" ht="135" x14ac:dyDescent="0.25">
      <c r="A2364" s="2" t="s">
        <v>74</v>
      </c>
      <c r="B2364" s="2">
        <v>181.11199999999999</v>
      </c>
      <c r="C2364" s="2" t="s">
        <v>8449</v>
      </c>
      <c r="D2364" s="2" t="s">
        <v>8448</v>
      </c>
      <c r="E2364" s="2" t="s">
        <v>216</v>
      </c>
      <c r="F2364" s="3">
        <v>42826</v>
      </c>
      <c r="G2364" s="2" t="str">
        <f>"9781438464763"</f>
        <v>9781438464763</v>
      </c>
      <c r="H2364" s="2" t="s">
        <v>14</v>
      </c>
      <c r="I2364" s="4">
        <v>43305.597222222219</v>
      </c>
      <c r="J2364" s="2" t="s">
        <v>8450</v>
      </c>
    </row>
    <row r="2365" spans="1:10" ht="150" x14ac:dyDescent="0.25">
      <c r="A2365" s="2" t="s">
        <v>74</v>
      </c>
      <c r="B2365" s="2">
        <v>181.11199999999999</v>
      </c>
      <c r="C2365" s="2" t="s">
        <v>6473</v>
      </c>
      <c r="D2365" s="2" t="s">
        <v>6472</v>
      </c>
      <c r="E2365" s="2" t="s">
        <v>216</v>
      </c>
      <c r="F2365" s="3">
        <v>43040</v>
      </c>
      <c r="G2365" s="2" t="str">
        <f>"9781438466521"</f>
        <v>9781438466521</v>
      </c>
      <c r="H2365" s="2" t="s">
        <v>14</v>
      </c>
      <c r="I2365" s="4">
        <v>43515.459722222222</v>
      </c>
      <c r="J2365" s="2" t="s">
        <v>6474</v>
      </c>
    </row>
    <row r="2366" spans="1:10" ht="135" x14ac:dyDescent="0.25">
      <c r="A2366" s="2" t="s">
        <v>74</v>
      </c>
      <c r="B2366" s="2">
        <v>177.62</v>
      </c>
      <c r="C2366" s="2" t="s">
        <v>5196</v>
      </c>
      <c r="D2366" s="2" t="s">
        <v>5195</v>
      </c>
      <c r="E2366" s="2" t="s">
        <v>216</v>
      </c>
      <c r="F2366" s="3">
        <v>42675</v>
      </c>
      <c r="G2366" s="2" t="str">
        <f>"9781438462684"</f>
        <v>9781438462684</v>
      </c>
      <c r="H2366" s="2" t="s">
        <v>14</v>
      </c>
      <c r="I2366" s="4">
        <v>43608.635416666664</v>
      </c>
      <c r="J2366" s="2" t="s">
        <v>5197</v>
      </c>
    </row>
    <row r="2367" spans="1:10" ht="135" x14ac:dyDescent="0.25">
      <c r="A2367" s="2" t="s">
        <v>74</v>
      </c>
      <c r="B2367" s="2">
        <v>149.6</v>
      </c>
      <c r="C2367" s="2" t="s">
        <v>7884</v>
      </c>
      <c r="D2367" s="2" t="s">
        <v>7883</v>
      </c>
      <c r="E2367" s="2" t="s">
        <v>73</v>
      </c>
      <c r="F2367" s="3">
        <v>42217</v>
      </c>
      <c r="G2367" s="2" t="str">
        <f>"9781937561864"</f>
        <v>9781937561864</v>
      </c>
      <c r="H2367" s="2" t="s">
        <v>14</v>
      </c>
      <c r="I2367" s="4">
        <v>43381.635416666664</v>
      </c>
      <c r="J2367" s="2" t="s">
        <v>7885</v>
      </c>
    </row>
    <row r="2368" spans="1:10" ht="135" x14ac:dyDescent="0.25">
      <c r="A2368" s="2" t="s">
        <v>74</v>
      </c>
      <c r="B2368" s="2">
        <v>128.46</v>
      </c>
      <c r="C2368" s="2" t="s">
        <v>9145</v>
      </c>
      <c r="D2368" s="2" t="s">
        <v>9144</v>
      </c>
      <c r="E2368" s="2" t="s">
        <v>73</v>
      </c>
      <c r="F2368" s="3">
        <v>42843</v>
      </c>
      <c r="G2368" s="2" t="str">
        <f>"9781452953793"</f>
        <v>9781452953793</v>
      </c>
      <c r="H2368" s="2" t="s">
        <v>14</v>
      </c>
      <c r="I2368" s="4">
        <v>43210.797222222223</v>
      </c>
      <c r="J2368" s="2" t="s">
        <v>9146</v>
      </c>
    </row>
    <row r="2369" spans="1:10" ht="150" x14ac:dyDescent="0.25">
      <c r="A2369" s="2" t="s">
        <v>74</v>
      </c>
      <c r="B2369" s="2" t="s">
        <v>5921</v>
      </c>
      <c r="C2369" s="2" t="s">
        <v>5922</v>
      </c>
      <c r="D2369" s="2" t="s">
        <v>5920</v>
      </c>
      <c r="E2369" s="2" t="s">
        <v>216</v>
      </c>
      <c r="F2369" s="3">
        <v>42339</v>
      </c>
      <c r="G2369" s="2" t="str">
        <f>"9781438460024"</f>
        <v>9781438460024</v>
      </c>
      <c r="H2369" s="2" t="s">
        <v>14</v>
      </c>
      <c r="I2369" s="4">
        <v>43558.381944444445</v>
      </c>
      <c r="J2369" s="2" t="s">
        <v>5923</v>
      </c>
    </row>
    <row r="2370" spans="1:10" ht="135" x14ac:dyDescent="0.25">
      <c r="A2370" s="2" t="s">
        <v>74</v>
      </c>
      <c r="B2370" s="2">
        <v>194</v>
      </c>
      <c r="C2370" s="2" t="s">
        <v>10828</v>
      </c>
      <c r="D2370" s="2" t="s">
        <v>10827</v>
      </c>
      <c r="E2370" s="2" t="s">
        <v>28</v>
      </c>
      <c r="F2370" s="3">
        <v>42887</v>
      </c>
      <c r="G2370" s="2" t="str">
        <f>"9780823275274"</f>
        <v>9780823275274</v>
      </c>
      <c r="H2370" s="2" t="s">
        <v>14</v>
      </c>
      <c r="I2370" s="4">
        <v>43033.51666666667</v>
      </c>
      <c r="J2370" s="2" t="s">
        <v>10829</v>
      </c>
    </row>
    <row r="2371" spans="1:10" ht="135" x14ac:dyDescent="0.25">
      <c r="A2371" s="2" t="s">
        <v>74</v>
      </c>
      <c r="B2371" s="2">
        <v>128</v>
      </c>
      <c r="C2371" s="2" t="s">
        <v>5377</v>
      </c>
      <c r="D2371" s="2" t="s">
        <v>5376</v>
      </c>
      <c r="E2371" s="2" t="s">
        <v>674</v>
      </c>
      <c r="F2371" s="3">
        <v>43438</v>
      </c>
      <c r="G2371" s="2" t="str">
        <f>"9780823281381"</f>
        <v>9780823281381</v>
      </c>
      <c r="H2371" s="2" t="s">
        <v>14</v>
      </c>
      <c r="I2371" s="4">
        <v>43603.572222222225</v>
      </c>
      <c r="J2371" s="2" t="s">
        <v>5378</v>
      </c>
    </row>
    <row r="2372" spans="1:10" ht="135" x14ac:dyDescent="0.25">
      <c r="A2372" s="2" t="s">
        <v>74</v>
      </c>
      <c r="B2372" s="2">
        <v>170</v>
      </c>
      <c r="C2372" s="2" t="s">
        <v>980</v>
      </c>
      <c r="D2372" s="2" t="s">
        <v>978</v>
      </c>
      <c r="E2372" s="2" t="s">
        <v>979</v>
      </c>
      <c r="F2372" s="3">
        <v>36382</v>
      </c>
      <c r="G2372" s="2" t="str">
        <f>"9780812697056"</f>
        <v>9780812697056</v>
      </c>
      <c r="H2372" s="2" t="s">
        <v>14</v>
      </c>
      <c r="I2372" s="4">
        <v>43970.64166666667</v>
      </c>
      <c r="J2372" s="2" t="s">
        <v>981</v>
      </c>
    </row>
    <row r="2373" spans="1:10" ht="135" x14ac:dyDescent="0.25">
      <c r="A2373" s="2" t="s">
        <v>74</v>
      </c>
      <c r="B2373" s="2">
        <v>190</v>
      </c>
      <c r="C2373" s="2" t="s">
        <v>10467</v>
      </c>
      <c r="D2373" s="2" t="s">
        <v>10465</v>
      </c>
      <c r="E2373" s="2" t="s">
        <v>10466</v>
      </c>
      <c r="F2373" s="3">
        <v>42088</v>
      </c>
      <c r="G2373" s="2" t="str">
        <f>"9781628941258"</f>
        <v>9781628941258</v>
      </c>
      <c r="H2373" s="2" t="s">
        <v>14</v>
      </c>
      <c r="I2373" s="4">
        <v>43055.405555555553</v>
      </c>
      <c r="J2373" s="2" t="s">
        <v>10468</v>
      </c>
    </row>
    <row r="2374" spans="1:10" ht="135" x14ac:dyDescent="0.25">
      <c r="A2374" s="2" t="s">
        <v>74</v>
      </c>
      <c r="B2374" s="2">
        <v>111.850938</v>
      </c>
      <c r="C2374" s="2" t="s">
        <v>10710</v>
      </c>
      <c r="D2374" s="2" t="s">
        <v>10709</v>
      </c>
      <c r="E2374" s="2" t="s">
        <v>674</v>
      </c>
      <c r="F2374" s="3">
        <v>42552</v>
      </c>
      <c r="G2374" s="2" t="str">
        <f>"9780823269679"</f>
        <v>9780823269679</v>
      </c>
      <c r="H2374" s="2" t="s">
        <v>14</v>
      </c>
      <c r="I2374" s="4">
        <v>43040.668749999997</v>
      </c>
      <c r="J2374" s="2" t="s">
        <v>10711</v>
      </c>
    </row>
    <row r="2375" spans="1:10" ht="135" x14ac:dyDescent="0.25">
      <c r="A2375" s="2" t="s">
        <v>74</v>
      </c>
      <c r="B2375" s="2" t="s">
        <v>13026</v>
      </c>
      <c r="C2375" s="2" t="s">
        <v>13027</v>
      </c>
      <c r="D2375" s="2" t="s">
        <v>13024</v>
      </c>
      <c r="E2375" s="2" t="s">
        <v>13025</v>
      </c>
      <c r="F2375" s="3">
        <v>37104</v>
      </c>
      <c r="G2375" s="2" t="str">
        <f>"9780874623796"</f>
        <v>9780874623796</v>
      </c>
      <c r="H2375" s="2" t="s">
        <v>14</v>
      </c>
      <c r="I2375" s="4">
        <v>42746.084027777775</v>
      </c>
      <c r="J2375" s="2" t="s">
        <v>13028</v>
      </c>
    </row>
    <row r="2376" spans="1:10" ht="135" x14ac:dyDescent="0.25">
      <c r="A2376" s="2" t="s">
        <v>74</v>
      </c>
      <c r="B2376" s="2">
        <v>144</v>
      </c>
      <c r="C2376" s="2" t="s">
        <v>1263</v>
      </c>
      <c r="D2376" s="2" t="s">
        <v>2693</v>
      </c>
      <c r="E2376" s="2" t="s">
        <v>37</v>
      </c>
      <c r="F2376" s="3">
        <v>42670</v>
      </c>
      <c r="G2376" s="2" t="str">
        <f>"9783319322766"</f>
        <v>9783319322766</v>
      </c>
      <c r="H2376" s="2" t="s">
        <v>14</v>
      </c>
      <c r="I2376" s="4">
        <v>43864.474999999999</v>
      </c>
      <c r="J2376" s="2" t="s">
        <v>2694</v>
      </c>
    </row>
    <row r="2377" spans="1:10" ht="135" x14ac:dyDescent="0.25">
      <c r="A2377" s="2" t="s">
        <v>74</v>
      </c>
      <c r="B2377" s="2">
        <v>111.85</v>
      </c>
      <c r="C2377" s="2" t="s">
        <v>4968</v>
      </c>
      <c r="D2377" s="2" t="s">
        <v>4967</v>
      </c>
      <c r="E2377" s="2" t="s">
        <v>69</v>
      </c>
      <c r="F2377" s="3">
        <v>43159</v>
      </c>
      <c r="G2377" s="2" t="str">
        <f>"9780253032119"</f>
        <v>9780253032119</v>
      </c>
      <c r="H2377" s="2" t="s">
        <v>14</v>
      </c>
      <c r="I2377" s="4">
        <v>43614.584027777775</v>
      </c>
      <c r="J2377" s="2" t="s">
        <v>4969</v>
      </c>
    </row>
    <row r="2378" spans="1:10" ht="135" x14ac:dyDescent="0.25">
      <c r="A2378" s="2" t="s">
        <v>74</v>
      </c>
      <c r="B2378" s="2">
        <v>128.30000000000001</v>
      </c>
      <c r="C2378" s="2" t="s">
        <v>2899</v>
      </c>
      <c r="D2378" s="2" t="s">
        <v>2898</v>
      </c>
      <c r="E2378" s="2" t="s">
        <v>69</v>
      </c>
      <c r="F2378" s="3">
        <v>43371</v>
      </c>
      <c r="G2378" s="2" t="str">
        <f>"9780253037244"</f>
        <v>9780253037244</v>
      </c>
      <c r="H2378" s="2" t="s">
        <v>14</v>
      </c>
      <c r="I2378" s="4">
        <v>43845.357638888891</v>
      </c>
      <c r="J2378" s="2" t="s">
        <v>2900</v>
      </c>
    </row>
    <row r="2379" spans="1:10" ht="135" x14ac:dyDescent="0.25">
      <c r="A2379" s="2" t="s">
        <v>74</v>
      </c>
      <c r="B2379" s="2">
        <v>110</v>
      </c>
      <c r="C2379" s="2" t="s">
        <v>391</v>
      </c>
      <c r="D2379" s="2" t="s">
        <v>389</v>
      </c>
      <c r="E2379" s="2" t="s">
        <v>390</v>
      </c>
      <c r="F2379" s="3">
        <v>43671</v>
      </c>
      <c r="G2379" s="2" t="str">
        <f>"9780268104993"</f>
        <v>9780268104993</v>
      </c>
      <c r="H2379" s="2" t="s">
        <v>14</v>
      </c>
      <c r="I2379" s="4">
        <v>44027.534722222219</v>
      </c>
      <c r="J2379" s="2" t="s">
        <v>392</v>
      </c>
    </row>
    <row r="2380" spans="1:10" ht="135" x14ac:dyDescent="0.25">
      <c r="A2380" s="2" t="s">
        <v>74</v>
      </c>
      <c r="B2380" s="2">
        <v>179.1</v>
      </c>
      <c r="C2380" s="2" t="s">
        <v>2614</v>
      </c>
      <c r="D2380" s="2" t="s">
        <v>2613</v>
      </c>
      <c r="E2380" s="2" t="s">
        <v>216</v>
      </c>
      <c r="F2380" s="3">
        <v>41791</v>
      </c>
      <c r="G2380" s="2" t="str">
        <f>"9781438451190"</f>
        <v>9781438451190</v>
      </c>
      <c r="H2380" s="2" t="s">
        <v>14</v>
      </c>
      <c r="I2380" s="4">
        <v>43872.68472222222</v>
      </c>
      <c r="J2380" s="2" t="s">
        <v>2615</v>
      </c>
    </row>
    <row r="2381" spans="1:10" ht="135" x14ac:dyDescent="0.25">
      <c r="A2381" s="2" t="s">
        <v>74</v>
      </c>
      <c r="B2381" s="2">
        <v>194</v>
      </c>
      <c r="C2381" s="2" t="s">
        <v>10113</v>
      </c>
      <c r="D2381" s="2" t="s">
        <v>10112</v>
      </c>
      <c r="E2381" s="2" t="s">
        <v>216</v>
      </c>
      <c r="F2381" s="3">
        <v>42491</v>
      </c>
      <c r="G2381" s="2" t="str">
        <f>"9781438460291"</f>
        <v>9781438460291</v>
      </c>
      <c r="H2381" s="2" t="s">
        <v>14</v>
      </c>
      <c r="I2381" s="4">
        <v>43099.626388888886</v>
      </c>
      <c r="J2381" s="2" t="s">
        <v>10114</v>
      </c>
    </row>
    <row r="2382" spans="1:10" ht="165" x14ac:dyDescent="0.25">
      <c r="A2382" s="2" t="s">
        <v>74</v>
      </c>
      <c r="B2382" s="2">
        <v>121</v>
      </c>
      <c r="C2382" s="2" t="s">
        <v>3628</v>
      </c>
      <c r="D2382" s="2" t="s">
        <v>3627</v>
      </c>
      <c r="E2382" s="2" t="s">
        <v>397</v>
      </c>
      <c r="F2382" s="3">
        <v>43081</v>
      </c>
      <c r="G2382" s="2" t="str">
        <f>"9780822982418"</f>
        <v>9780822982418</v>
      </c>
      <c r="H2382" s="2" t="s">
        <v>14</v>
      </c>
      <c r="I2382" s="4">
        <v>43770.629861111112</v>
      </c>
      <c r="J2382" s="2" t="s">
        <v>3629</v>
      </c>
    </row>
    <row r="2383" spans="1:10" ht="135" x14ac:dyDescent="0.25">
      <c r="A2383" s="2" t="s">
        <v>74</v>
      </c>
      <c r="B2383" s="2">
        <v>170</v>
      </c>
      <c r="C2383" s="2" t="s">
        <v>11154</v>
      </c>
      <c r="D2383" s="2" t="s">
        <v>11153</v>
      </c>
      <c r="E2383" s="2" t="s">
        <v>216</v>
      </c>
      <c r="F2383" s="3">
        <v>42948</v>
      </c>
      <c r="G2383" s="2" t="str">
        <f>"9781438464947"</f>
        <v>9781438464947</v>
      </c>
      <c r="H2383" s="2" t="s">
        <v>14</v>
      </c>
      <c r="I2383" s="4">
        <v>43013.04583333333</v>
      </c>
      <c r="J2383" s="2" t="s">
        <v>11155</v>
      </c>
    </row>
    <row r="2384" spans="1:10" ht="135" x14ac:dyDescent="0.25">
      <c r="A2384" s="2" t="s">
        <v>74</v>
      </c>
      <c r="B2384" s="2">
        <v>170</v>
      </c>
      <c r="C2384" s="2" t="s">
        <v>4035</v>
      </c>
      <c r="D2384" s="2" t="s">
        <v>4034</v>
      </c>
      <c r="E2384" s="2" t="s">
        <v>705</v>
      </c>
      <c r="F2384" s="3">
        <v>42983</v>
      </c>
      <c r="G2384" s="2" t="str">
        <f>"9781400888733"</f>
        <v>9781400888733</v>
      </c>
      <c r="H2384" s="2" t="s">
        <v>14</v>
      </c>
      <c r="I2384" s="4">
        <v>43724.42291666667</v>
      </c>
      <c r="J2384" s="2" t="s">
        <v>4036</v>
      </c>
    </row>
    <row r="2385" spans="1:10" ht="135" x14ac:dyDescent="0.25">
      <c r="A2385" s="2" t="s">
        <v>74</v>
      </c>
      <c r="B2385" s="2">
        <v>194</v>
      </c>
      <c r="C2385" s="2" t="s">
        <v>3556</v>
      </c>
      <c r="D2385" s="2" t="s">
        <v>8576</v>
      </c>
      <c r="E2385" s="2" t="s">
        <v>121</v>
      </c>
      <c r="F2385" s="3">
        <v>43191</v>
      </c>
      <c r="G2385" s="2" t="str">
        <f>"9781609175634"</f>
        <v>9781609175634</v>
      </c>
      <c r="H2385" s="2" t="s">
        <v>14</v>
      </c>
      <c r="I2385" s="4">
        <v>43285.953472222223</v>
      </c>
      <c r="J2385" s="2" t="s">
        <v>8577</v>
      </c>
    </row>
    <row r="2386" spans="1:10" ht="135" x14ac:dyDescent="0.25">
      <c r="A2386" s="2" t="s">
        <v>74</v>
      </c>
      <c r="B2386" s="2">
        <v>181</v>
      </c>
      <c r="C2386" s="2" t="s">
        <v>5550</v>
      </c>
      <c r="D2386" s="2" t="s">
        <v>5549</v>
      </c>
      <c r="E2386" s="2" t="s">
        <v>856</v>
      </c>
      <c r="F2386" s="3">
        <v>41469</v>
      </c>
      <c r="G2386" s="2" t="str">
        <f>"9780295804682"</f>
        <v>9780295804682</v>
      </c>
      <c r="H2386" s="2" t="s">
        <v>14</v>
      </c>
      <c r="I2386" s="4">
        <v>43591.496527777781</v>
      </c>
      <c r="J2386" s="2" t="s">
        <v>5551</v>
      </c>
    </row>
    <row r="2387" spans="1:10" ht="135" x14ac:dyDescent="0.25">
      <c r="A2387" s="2" t="s">
        <v>74</v>
      </c>
      <c r="B2387" s="2">
        <v>121.63</v>
      </c>
      <c r="C2387" s="2" t="s">
        <v>8888</v>
      </c>
      <c r="D2387" s="2" t="s">
        <v>8887</v>
      </c>
      <c r="E2387" s="2" t="s">
        <v>328</v>
      </c>
      <c r="F2387" s="3">
        <v>41704</v>
      </c>
      <c r="G2387" s="2" t="str">
        <f>"9780739175675"</f>
        <v>9780739175675</v>
      </c>
      <c r="H2387" s="2" t="s">
        <v>14</v>
      </c>
      <c r="I2387" s="4">
        <v>43243.489583333336</v>
      </c>
      <c r="J2387" s="2" t="s">
        <v>8889</v>
      </c>
    </row>
    <row r="2388" spans="1:10" ht="135" x14ac:dyDescent="0.25">
      <c r="A2388" s="2" t="s">
        <v>74</v>
      </c>
      <c r="B2388" s="2">
        <v>123.5</v>
      </c>
      <c r="C2388" s="2" t="s">
        <v>12861</v>
      </c>
      <c r="D2388" s="2" t="s">
        <v>12860</v>
      </c>
      <c r="E2388" s="2" t="s">
        <v>328</v>
      </c>
      <c r="F2388" s="3">
        <v>41460</v>
      </c>
      <c r="G2388" s="2" t="str">
        <f>"9780739177327"</f>
        <v>9780739177327</v>
      </c>
      <c r="H2388" s="2" t="s">
        <v>14</v>
      </c>
      <c r="I2388" s="4">
        <v>42765.802083333336</v>
      </c>
      <c r="J2388" s="2" t="s">
        <v>12862</v>
      </c>
    </row>
    <row r="2389" spans="1:10" ht="135" x14ac:dyDescent="0.25">
      <c r="A2389" s="2" t="s">
        <v>74</v>
      </c>
      <c r="B2389" s="2">
        <v>116</v>
      </c>
      <c r="C2389" s="2" t="s">
        <v>9291</v>
      </c>
      <c r="D2389" s="2" t="s">
        <v>9290</v>
      </c>
      <c r="E2389" s="2" t="s">
        <v>674</v>
      </c>
      <c r="F2389" s="3">
        <v>42065</v>
      </c>
      <c r="G2389" s="2" t="str">
        <f>"9780823257492"</f>
        <v>9780823257492</v>
      </c>
      <c r="H2389" s="2" t="s">
        <v>14</v>
      </c>
      <c r="I2389" s="4">
        <v>43188.439583333333</v>
      </c>
      <c r="J2389" s="2" t="s">
        <v>9292</v>
      </c>
    </row>
    <row r="2390" spans="1:10" ht="135" x14ac:dyDescent="0.25">
      <c r="A2390" s="2" t="s">
        <v>74</v>
      </c>
      <c r="B2390" s="2">
        <v>194</v>
      </c>
      <c r="C2390" s="2" t="s">
        <v>10369</v>
      </c>
      <c r="D2390" s="2" t="s">
        <v>10368</v>
      </c>
      <c r="E2390" s="2" t="s">
        <v>674</v>
      </c>
      <c r="F2390" s="3">
        <v>41730</v>
      </c>
      <c r="G2390" s="2" t="str">
        <f>"9780823256501"</f>
        <v>9780823256501</v>
      </c>
      <c r="H2390" s="2" t="s">
        <v>14</v>
      </c>
      <c r="I2390" s="4">
        <v>43063.957638888889</v>
      </c>
      <c r="J2390" s="2" t="s">
        <v>10370</v>
      </c>
    </row>
    <row r="2391" spans="1:10" ht="135" x14ac:dyDescent="0.25">
      <c r="A2391" s="2" t="s">
        <v>74</v>
      </c>
      <c r="B2391" s="2">
        <v>170.92</v>
      </c>
      <c r="C2391" s="2" t="s">
        <v>9902</v>
      </c>
      <c r="D2391" s="2" t="s">
        <v>9901</v>
      </c>
      <c r="E2391" s="2" t="s">
        <v>674</v>
      </c>
      <c r="F2391" s="3">
        <v>42618</v>
      </c>
      <c r="G2391" s="2" t="str">
        <f>"9780823271269"</f>
        <v>9780823271269</v>
      </c>
      <c r="H2391" s="2" t="s">
        <v>14</v>
      </c>
      <c r="I2391" s="4">
        <v>43122.37222222222</v>
      </c>
      <c r="J2391" s="2" t="s">
        <v>9903</v>
      </c>
    </row>
    <row r="2392" spans="1:10" ht="135" x14ac:dyDescent="0.25">
      <c r="A2392" s="2" t="s">
        <v>74</v>
      </c>
      <c r="B2392" s="2" t="s">
        <v>4225</v>
      </c>
      <c r="C2392" s="2" t="s">
        <v>4226</v>
      </c>
      <c r="D2392" s="2" t="s">
        <v>4224</v>
      </c>
      <c r="E2392" s="2" t="s">
        <v>578</v>
      </c>
      <c r="F2392" s="3">
        <v>42542</v>
      </c>
      <c r="G2392" s="2" t="str">
        <f>"9780252098567"</f>
        <v>9780252098567</v>
      </c>
      <c r="H2392" s="2" t="s">
        <v>14</v>
      </c>
      <c r="I2392" s="4">
        <v>43691.029166666667</v>
      </c>
      <c r="J2392" s="2" t="s">
        <v>4227</v>
      </c>
    </row>
    <row r="2393" spans="1:10" ht="135" x14ac:dyDescent="0.25">
      <c r="A2393" s="2" t="s">
        <v>74</v>
      </c>
      <c r="B2393" s="2">
        <v>194</v>
      </c>
      <c r="C2393" s="2" t="s">
        <v>11876</v>
      </c>
      <c r="D2393" s="2" t="s">
        <v>11875</v>
      </c>
      <c r="E2393" s="2" t="s">
        <v>216</v>
      </c>
      <c r="F2393" s="3">
        <v>42552</v>
      </c>
      <c r="G2393" s="2" t="str">
        <f>"9781438461939"</f>
        <v>9781438461939</v>
      </c>
      <c r="H2393" s="2" t="s">
        <v>14</v>
      </c>
      <c r="I2393" s="4">
        <v>42875.59375</v>
      </c>
      <c r="J2393" s="2" t="s">
        <v>11877</v>
      </c>
    </row>
    <row r="2394" spans="1:10" ht="135" x14ac:dyDescent="0.25">
      <c r="A2394" s="2" t="s">
        <v>74</v>
      </c>
      <c r="B2394" s="2">
        <v>193</v>
      </c>
      <c r="C2394" s="2" t="s">
        <v>12256</v>
      </c>
      <c r="D2394" s="2" t="s">
        <v>12255</v>
      </c>
      <c r="E2394" s="2" t="s">
        <v>54</v>
      </c>
      <c r="F2394" s="3">
        <v>42739</v>
      </c>
      <c r="G2394" s="2" t="str">
        <f>"9781503600744"</f>
        <v>9781503600744</v>
      </c>
      <c r="H2394" s="2" t="s">
        <v>14</v>
      </c>
      <c r="I2394" s="4">
        <v>42826.48541666667</v>
      </c>
      <c r="J2394" s="2" t="s">
        <v>12257</v>
      </c>
    </row>
    <row r="2395" spans="1:10" ht="135" x14ac:dyDescent="0.25">
      <c r="A2395" s="2" t="s">
        <v>74</v>
      </c>
      <c r="B2395" s="2">
        <v>177</v>
      </c>
      <c r="C2395" s="2" t="s">
        <v>3744</v>
      </c>
      <c r="D2395" s="2" t="s">
        <v>3743</v>
      </c>
      <c r="E2395" s="2" t="s">
        <v>54</v>
      </c>
      <c r="F2395" s="3">
        <v>43753</v>
      </c>
      <c r="G2395" s="2" t="str">
        <f>"9781503610842"</f>
        <v>9781503610842</v>
      </c>
      <c r="H2395" s="2" t="s">
        <v>14</v>
      </c>
      <c r="I2395" s="4">
        <v>43759.602777777778</v>
      </c>
      <c r="J2395" s="2" t="s">
        <v>3745</v>
      </c>
    </row>
    <row r="2396" spans="1:10" ht="135" x14ac:dyDescent="0.25">
      <c r="A2396" s="2" t="s">
        <v>74</v>
      </c>
      <c r="B2396" s="2">
        <v>126.09</v>
      </c>
      <c r="C2396" s="2" t="s">
        <v>4500</v>
      </c>
      <c r="D2396" s="2" t="s">
        <v>4499</v>
      </c>
      <c r="E2396" s="2" t="s">
        <v>216</v>
      </c>
      <c r="F2396" s="3">
        <v>43586</v>
      </c>
      <c r="G2396" s="2" t="str">
        <f>"9781438473864"</f>
        <v>9781438473864</v>
      </c>
      <c r="H2396" s="2" t="s">
        <v>14</v>
      </c>
      <c r="I2396" s="4">
        <v>43658.657638888886</v>
      </c>
      <c r="J2396" s="2" t="s">
        <v>4501</v>
      </c>
    </row>
    <row r="2397" spans="1:10" ht="135" x14ac:dyDescent="0.25">
      <c r="A2397" s="2" t="s">
        <v>74</v>
      </c>
      <c r="B2397" s="2">
        <v>193</v>
      </c>
      <c r="C2397" s="2" t="s">
        <v>9298</v>
      </c>
      <c r="D2397" s="2" t="s">
        <v>9297</v>
      </c>
      <c r="E2397" s="2" t="s">
        <v>216</v>
      </c>
      <c r="F2397" s="3">
        <v>33689</v>
      </c>
      <c r="G2397" s="2" t="str">
        <f>"9781438413280"</f>
        <v>9781438413280</v>
      </c>
      <c r="H2397" s="2" t="s">
        <v>14</v>
      </c>
      <c r="I2397" s="4">
        <v>43188.354861111111</v>
      </c>
      <c r="J2397" s="2" t="s">
        <v>9299</v>
      </c>
    </row>
    <row r="2398" spans="1:10" ht="135" x14ac:dyDescent="0.25">
      <c r="A2398" s="2" t="s">
        <v>74</v>
      </c>
      <c r="B2398" s="2">
        <v>170</v>
      </c>
      <c r="C2398" s="2" t="s">
        <v>1263</v>
      </c>
      <c r="D2398" s="2" t="s">
        <v>3864</v>
      </c>
      <c r="E2398" s="2" t="s">
        <v>37</v>
      </c>
      <c r="F2398" s="3">
        <v>42772</v>
      </c>
      <c r="G2398" s="2" t="str">
        <f>"9783319437996"</f>
        <v>9783319437996</v>
      </c>
      <c r="H2398" s="2" t="s">
        <v>14</v>
      </c>
      <c r="I2398" s="4">
        <v>43748.497916666667</v>
      </c>
      <c r="J2398" s="2" t="s">
        <v>3865</v>
      </c>
    </row>
    <row r="2399" spans="1:10" ht="135" x14ac:dyDescent="0.25">
      <c r="A2399" s="2" t="s">
        <v>74</v>
      </c>
      <c r="B2399" s="2" t="s">
        <v>4434</v>
      </c>
      <c r="C2399" s="2" t="s">
        <v>4435</v>
      </c>
      <c r="D2399" s="2" t="s">
        <v>4433</v>
      </c>
      <c r="E2399" s="2" t="s">
        <v>216</v>
      </c>
      <c r="F2399" s="3">
        <v>43160</v>
      </c>
      <c r="G2399" s="2" t="str">
        <f>"9781438468563"</f>
        <v>9781438468563</v>
      </c>
      <c r="H2399" s="2" t="s">
        <v>14</v>
      </c>
      <c r="I2399" s="4">
        <v>43669.513888888891</v>
      </c>
      <c r="J2399" s="2" t="s">
        <v>4436</v>
      </c>
    </row>
    <row r="2400" spans="1:10" ht="150" x14ac:dyDescent="0.25">
      <c r="A2400" s="2" t="s">
        <v>74</v>
      </c>
      <c r="B2400" s="2">
        <v>170.93100000000001</v>
      </c>
      <c r="C2400" s="2" t="s">
        <v>5016</v>
      </c>
      <c r="D2400" s="2" t="s">
        <v>5015</v>
      </c>
      <c r="E2400" s="2" t="s">
        <v>69</v>
      </c>
      <c r="F2400" s="3">
        <v>41782</v>
      </c>
      <c r="G2400" s="2" t="str">
        <f>"9780253011763"</f>
        <v>9780253011763</v>
      </c>
      <c r="H2400" s="2" t="s">
        <v>14</v>
      </c>
      <c r="I2400" s="4">
        <v>43612.581250000003</v>
      </c>
      <c r="J2400" s="2" t="s">
        <v>5017</v>
      </c>
    </row>
    <row r="2401" spans="1:10" ht="135" x14ac:dyDescent="0.25">
      <c r="A2401" s="2" t="s">
        <v>74</v>
      </c>
      <c r="B2401" s="2">
        <v>193</v>
      </c>
      <c r="C2401" s="2" t="s">
        <v>8182</v>
      </c>
      <c r="D2401" s="2" t="s">
        <v>8181</v>
      </c>
      <c r="E2401" s="2" t="s">
        <v>69</v>
      </c>
      <c r="F2401" s="3">
        <v>42247</v>
      </c>
      <c r="G2401" s="2" t="str">
        <f>"9780253017789"</f>
        <v>9780253017789</v>
      </c>
      <c r="H2401" s="2" t="s">
        <v>14</v>
      </c>
      <c r="I2401" s="4">
        <v>43343.522222222222</v>
      </c>
      <c r="J2401" s="2" t="s">
        <v>8183</v>
      </c>
    </row>
    <row r="2402" spans="1:10" ht="135" x14ac:dyDescent="0.25">
      <c r="A2402" s="2" t="s">
        <v>74</v>
      </c>
      <c r="B2402" s="2">
        <v>193</v>
      </c>
      <c r="C2402" s="2" t="s">
        <v>452</v>
      </c>
      <c r="D2402" s="2" t="s">
        <v>3206</v>
      </c>
      <c r="E2402" s="2" t="s">
        <v>101</v>
      </c>
      <c r="F2402" s="3">
        <v>42931</v>
      </c>
      <c r="G2402" s="2" t="str">
        <f>"9780810135437"</f>
        <v>9780810135437</v>
      </c>
      <c r="H2402" s="2" t="s">
        <v>14</v>
      </c>
      <c r="I2402" s="4">
        <v>43798.543749999997</v>
      </c>
      <c r="J2402" s="2" t="s">
        <v>3207</v>
      </c>
    </row>
    <row r="2403" spans="1:10" ht="135" x14ac:dyDescent="0.25">
      <c r="A2403" s="2" t="s">
        <v>74</v>
      </c>
      <c r="D2403" s="2" t="s">
        <v>2420</v>
      </c>
      <c r="E2403" s="2" t="s">
        <v>73</v>
      </c>
      <c r="F2403" s="3">
        <v>43368</v>
      </c>
      <c r="G2403" s="2" t="str">
        <f>"9781452957890"</f>
        <v>9781452957890</v>
      </c>
      <c r="H2403" s="2" t="s">
        <v>14</v>
      </c>
      <c r="I2403" s="4">
        <v>43886.486111111109</v>
      </c>
      <c r="J2403" s="2" t="s">
        <v>2421</v>
      </c>
    </row>
    <row r="2404" spans="1:10" ht="135" x14ac:dyDescent="0.25">
      <c r="A2404" s="2" t="s">
        <v>74</v>
      </c>
      <c r="B2404" s="2">
        <v>193</v>
      </c>
      <c r="C2404" s="2" t="s">
        <v>10773</v>
      </c>
      <c r="D2404" s="2" t="s">
        <v>10772</v>
      </c>
      <c r="E2404" s="2" t="s">
        <v>216</v>
      </c>
      <c r="F2404" s="3">
        <v>37336</v>
      </c>
      <c r="G2404" s="2" t="str">
        <f>"9780791488737"</f>
        <v>9780791488737</v>
      </c>
      <c r="H2404" s="2" t="s">
        <v>14</v>
      </c>
      <c r="I2404" s="4">
        <v>43037.787499999999</v>
      </c>
      <c r="J2404" s="2" t="s">
        <v>10774</v>
      </c>
    </row>
    <row r="2405" spans="1:10" ht="135" x14ac:dyDescent="0.25">
      <c r="A2405" s="2" t="s">
        <v>74</v>
      </c>
      <c r="B2405" s="2">
        <v>193</v>
      </c>
      <c r="C2405" s="2" t="s">
        <v>7591</v>
      </c>
      <c r="D2405" s="2" t="s">
        <v>7590</v>
      </c>
      <c r="E2405" s="2" t="s">
        <v>69</v>
      </c>
      <c r="F2405" s="3">
        <v>42296</v>
      </c>
      <c r="G2405" s="2" t="str">
        <f>"9780253019776"</f>
        <v>9780253019776</v>
      </c>
      <c r="H2405" s="2" t="s">
        <v>14</v>
      </c>
      <c r="I2405" s="4">
        <v>43406.670138888891</v>
      </c>
      <c r="J2405" s="2" t="s">
        <v>7592</v>
      </c>
    </row>
    <row r="2406" spans="1:10" ht="135" x14ac:dyDescent="0.25">
      <c r="A2406" s="2" t="s">
        <v>74</v>
      </c>
      <c r="B2406" s="2">
        <v>193</v>
      </c>
      <c r="C2406" s="2" t="s">
        <v>6417</v>
      </c>
      <c r="D2406" s="2" t="s">
        <v>6416</v>
      </c>
      <c r="E2406" s="2" t="s">
        <v>54</v>
      </c>
      <c r="F2406" s="3">
        <v>43529</v>
      </c>
      <c r="G2406" s="2" t="str">
        <f>"9781503608795"</f>
        <v>9781503608795</v>
      </c>
      <c r="H2406" s="2" t="s">
        <v>14</v>
      </c>
      <c r="I2406" s="4">
        <v>43519.544444444444</v>
      </c>
      <c r="J2406" s="2" t="s">
        <v>6418</v>
      </c>
    </row>
    <row r="2407" spans="1:10" ht="135" x14ac:dyDescent="0.25">
      <c r="A2407" s="2" t="s">
        <v>74</v>
      </c>
      <c r="B2407" s="2">
        <v>193</v>
      </c>
      <c r="C2407" s="2" t="s">
        <v>644</v>
      </c>
      <c r="D2407" s="2" t="s">
        <v>643</v>
      </c>
      <c r="E2407" s="2" t="s">
        <v>69</v>
      </c>
      <c r="F2407" s="3">
        <v>43181</v>
      </c>
      <c r="G2407" s="2" t="str">
        <f>"9780253032140"</f>
        <v>9780253032140</v>
      </c>
      <c r="H2407" s="2" t="s">
        <v>14</v>
      </c>
      <c r="I2407" s="4">
        <v>44004.696527777778</v>
      </c>
      <c r="J2407" s="2" t="s">
        <v>645</v>
      </c>
    </row>
    <row r="2408" spans="1:10" ht="135" x14ac:dyDescent="0.25">
      <c r="A2408" s="2" t="s">
        <v>74</v>
      </c>
      <c r="B2408" s="2">
        <v>193</v>
      </c>
      <c r="C2408" s="2" t="s">
        <v>1124</v>
      </c>
      <c r="D2408" s="2" t="s">
        <v>1123</v>
      </c>
      <c r="E2408" s="2" t="s">
        <v>69</v>
      </c>
      <c r="F2408" s="3">
        <v>43552</v>
      </c>
      <c r="G2408" s="2" t="str">
        <f>"9780253039767"</f>
        <v>9780253039767</v>
      </c>
      <c r="H2408" s="2" t="s">
        <v>14</v>
      </c>
      <c r="I2408" s="4">
        <v>43961.664583333331</v>
      </c>
      <c r="J2408" s="2" t="s">
        <v>1125</v>
      </c>
    </row>
    <row r="2409" spans="1:10" ht="135" x14ac:dyDescent="0.25">
      <c r="A2409" s="2" t="s">
        <v>74</v>
      </c>
      <c r="B2409" s="2" t="s">
        <v>7605</v>
      </c>
      <c r="C2409" s="2" t="s">
        <v>7606</v>
      </c>
      <c r="D2409" s="2" t="s">
        <v>7604</v>
      </c>
      <c r="E2409" s="2" t="s">
        <v>216</v>
      </c>
      <c r="F2409" s="3">
        <v>42036</v>
      </c>
      <c r="G2409" s="2" t="str">
        <f>"9781438455488"</f>
        <v>9781438455488</v>
      </c>
      <c r="H2409" s="2" t="s">
        <v>14</v>
      </c>
      <c r="I2409" s="4">
        <v>43405.602777777778</v>
      </c>
      <c r="J2409" s="2" t="s">
        <v>7607</v>
      </c>
    </row>
    <row r="2410" spans="1:10" ht="135" x14ac:dyDescent="0.25">
      <c r="A2410" s="2" t="s">
        <v>74</v>
      </c>
      <c r="B2410" s="2">
        <v>189.4</v>
      </c>
      <c r="C2410" s="2" t="s">
        <v>7207</v>
      </c>
      <c r="D2410" s="2" t="s">
        <v>7206</v>
      </c>
      <c r="E2410" s="2" t="s">
        <v>11</v>
      </c>
      <c r="F2410" s="3">
        <v>41667</v>
      </c>
      <c r="G2410" s="2" t="str">
        <f>"9780813221793"</f>
        <v>9780813221793</v>
      </c>
      <c r="H2410" s="2" t="s">
        <v>14</v>
      </c>
      <c r="I2410" s="4">
        <v>43434.452777777777</v>
      </c>
      <c r="J2410" s="2" t="s">
        <v>7208</v>
      </c>
    </row>
    <row r="2411" spans="1:10" ht="135" x14ac:dyDescent="0.25">
      <c r="A2411" s="2" t="s">
        <v>74</v>
      </c>
      <c r="B2411" s="2">
        <v>111</v>
      </c>
      <c r="C2411" s="2" t="s">
        <v>11403</v>
      </c>
      <c r="D2411" s="2" t="s">
        <v>11402</v>
      </c>
      <c r="E2411" s="2" t="s">
        <v>390</v>
      </c>
      <c r="F2411" s="3">
        <v>42719</v>
      </c>
      <c r="G2411" s="2" t="str">
        <f>"9780268101084"</f>
        <v>9780268101084</v>
      </c>
      <c r="H2411" s="2" t="s">
        <v>14</v>
      </c>
      <c r="I2411" s="4">
        <v>42976.578472222223</v>
      </c>
      <c r="J2411" s="2" t="s">
        <v>11404</v>
      </c>
    </row>
    <row r="2412" spans="1:10" ht="135" x14ac:dyDescent="0.25">
      <c r="A2412" s="2" t="s">
        <v>74</v>
      </c>
      <c r="B2412" s="2">
        <v>191</v>
      </c>
      <c r="C2412" s="2" t="s">
        <v>6244</v>
      </c>
      <c r="D2412" s="2" t="s">
        <v>6243</v>
      </c>
      <c r="E2412" s="2" t="s">
        <v>328</v>
      </c>
      <c r="F2412" s="3">
        <v>41522</v>
      </c>
      <c r="G2412" s="2" t="str">
        <f>"9780739181904"</f>
        <v>9780739181904</v>
      </c>
      <c r="H2412" s="2" t="s">
        <v>14</v>
      </c>
      <c r="I2412" s="4">
        <v>43530.470138888886</v>
      </c>
      <c r="J2412" s="2" t="s">
        <v>6245</v>
      </c>
    </row>
    <row r="2413" spans="1:10" ht="135" x14ac:dyDescent="0.25">
      <c r="A2413" s="2" t="s">
        <v>74</v>
      </c>
      <c r="B2413" s="2" t="s">
        <v>12784</v>
      </c>
      <c r="C2413" s="2" t="s">
        <v>12785</v>
      </c>
      <c r="D2413" s="2" t="s">
        <v>12783</v>
      </c>
      <c r="E2413" s="2" t="s">
        <v>73</v>
      </c>
      <c r="F2413" s="3">
        <v>42473</v>
      </c>
      <c r="G2413" s="2" t="str">
        <f>"9781452949987"</f>
        <v>9781452949987</v>
      </c>
      <c r="H2413" s="2" t="s">
        <v>14</v>
      </c>
      <c r="I2413" s="4">
        <v>42774.834027777775</v>
      </c>
      <c r="J2413" s="2" t="s">
        <v>12786</v>
      </c>
    </row>
    <row r="2414" spans="1:10" ht="150" x14ac:dyDescent="0.25">
      <c r="A2414" s="2" t="s">
        <v>74</v>
      </c>
      <c r="B2414" s="2">
        <v>194</v>
      </c>
      <c r="C2414" s="2" t="s">
        <v>4585</v>
      </c>
      <c r="D2414" s="2" t="s">
        <v>4584</v>
      </c>
      <c r="E2414" s="2" t="s">
        <v>328</v>
      </c>
      <c r="F2414" s="3">
        <v>41445</v>
      </c>
      <c r="G2414" s="2" t="str">
        <f>"9780739180624"</f>
        <v>9780739180624</v>
      </c>
      <c r="H2414" s="2" t="s">
        <v>14</v>
      </c>
      <c r="I2414" s="4">
        <v>43647.679861111108</v>
      </c>
      <c r="J2414" s="2" t="s">
        <v>4586</v>
      </c>
    </row>
    <row r="2415" spans="1:10" ht="135" x14ac:dyDescent="0.25">
      <c r="A2415" s="2" t="s">
        <v>74</v>
      </c>
      <c r="B2415" s="2">
        <v>100</v>
      </c>
      <c r="C2415" s="2" t="s">
        <v>11643</v>
      </c>
      <c r="D2415" s="2" t="s">
        <v>11642</v>
      </c>
      <c r="E2415" s="2" t="s">
        <v>80</v>
      </c>
      <c r="F2415" s="3">
        <v>42489</v>
      </c>
      <c r="G2415" s="2" t="str">
        <f>"9783653066203"</f>
        <v>9783653066203</v>
      </c>
      <c r="H2415" s="2" t="s">
        <v>14</v>
      </c>
      <c r="I2415" s="4">
        <v>42916.688194444447</v>
      </c>
      <c r="J2415" s="2" t="s">
        <v>11644</v>
      </c>
    </row>
    <row r="2416" spans="1:10" ht="135" x14ac:dyDescent="0.25">
      <c r="A2416" s="2" t="s">
        <v>74</v>
      </c>
      <c r="B2416" s="2">
        <v>181.06</v>
      </c>
      <c r="C2416" s="2" t="s">
        <v>8237</v>
      </c>
      <c r="D2416" s="2" t="s">
        <v>8236</v>
      </c>
      <c r="E2416" s="2" t="s">
        <v>69</v>
      </c>
      <c r="F2416" s="3">
        <v>42590</v>
      </c>
      <c r="G2416" s="2" t="str">
        <f>"9780253022394"</f>
        <v>9780253022394</v>
      </c>
      <c r="H2416" s="2" t="s">
        <v>14</v>
      </c>
      <c r="I2416" s="4">
        <v>43333.509722222225</v>
      </c>
      <c r="J2416" s="2" t="s">
        <v>8238</v>
      </c>
    </row>
    <row r="2417" spans="1:10" ht="135" x14ac:dyDescent="0.25">
      <c r="A2417" s="2" t="s">
        <v>74</v>
      </c>
      <c r="B2417" s="2">
        <v>198.9</v>
      </c>
      <c r="C2417" s="2" t="s">
        <v>8302</v>
      </c>
      <c r="D2417" s="2" t="s">
        <v>8301</v>
      </c>
      <c r="E2417" s="2" t="s">
        <v>69</v>
      </c>
      <c r="F2417" s="3">
        <v>42989</v>
      </c>
      <c r="G2417" s="2" t="str">
        <f>"9780253029485"</f>
        <v>9780253029485</v>
      </c>
      <c r="H2417" s="2" t="s">
        <v>14</v>
      </c>
      <c r="I2417" s="4">
        <v>43325.368055555555</v>
      </c>
      <c r="J2417" s="2" t="s">
        <v>8303</v>
      </c>
    </row>
    <row r="2418" spans="1:10" ht="135" x14ac:dyDescent="0.25">
      <c r="A2418" s="2" t="s">
        <v>74</v>
      </c>
      <c r="B2418" s="2" t="s">
        <v>11216</v>
      </c>
      <c r="C2418" s="2" t="s">
        <v>11217</v>
      </c>
      <c r="D2418" s="2" t="s">
        <v>11215</v>
      </c>
      <c r="E2418" s="2" t="s">
        <v>69</v>
      </c>
      <c r="F2418" s="3">
        <v>41772</v>
      </c>
      <c r="G2418" s="2" t="str">
        <f>"9780253012654"</f>
        <v>9780253012654</v>
      </c>
      <c r="H2418" s="2" t="s">
        <v>14</v>
      </c>
      <c r="I2418" s="4">
        <v>43006.414583333331</v>
      </c>
      <c r="J2418" s="2" t="s">
        <v>11218</v>
      </c>
    </row>
    <row r="2419" spans="1:10" ht="135" x14ac:dyDescent="0.25">
      <c r="A2419" s="2" t="s">
        <v>74</v>
      </c>
      <c r="B2419" s="2">
        <v>146.40979999999999</v>
      </c>
      <c r="C2419" s="2" t="s">
        <v>12044</v>
      </c>
      <c r="D2419" s="2" t="s">
        <v>12043</v>
      </c>
      <c r="E2419" s="2" t="s">
        <v>328</v>
      </c>
      <c r="F2419" s="3">
        <v>41258</v>
      </c>
      <c r="G2419" s="2" t="str">
        <f>"9780739178492"</f>
        <v>9780739178492</v>
      </c>
      <c r="H2419" s="2" t="s">
        <v>14</v>
      </c>
      <c r="I2419" s="4">
        <v>42859.611805555556</v>
      </c>
      <c r="J2419" s="2" t="s">
        <v>12045</v>
      </c>
    </row>
    <row r="2420" spans="1:10" ht="135" x14ac:dyDescent="0.25">
      <c r="A2420" s="2" t="s">
        <v>74</v>
      </c>
      <c r="B2420" s="2">
        <v>170</v>
      </c>
      <c r="C2420" s="2" t="s">
        <v>4080</v>
      </c>
      <c r="D2420" s="2" t="s">
        <v>4079</v>
      </c>
      <c r="E2420" s="2" t="s">
        <v>216</v>
      </c>
      <c r="F2420" s="3">
        <v>42401</v>
      </c>
      <c r="G2420" s="2" t="str">
        <f>"9781438458717"</f>
        <v>9781438458717</v>
      </c>
      <c r="H2420" s="2" t="s">
        <v>14</v>
      </c>
      <c r="I2420" s="4">
        <v>43716.537499999999</v>
      </c>
      <c r="J2420" s="2" t="s">
        <v>4081</v>
      </c>
    </row>
    <row r="2421" spans="1:10" ht="150" x14ac:dyDescent="0.25">
      <c r="A2421" s="2" t="s">
        <v>74</v>
      </c>
      <c r="B2421" s="2">
        <v>181.06</v>
      </c>
      <c r="C2421" s="2" t="s">
        <v>2603</v>
      </c>
      <c r="D2421" s="2" t="s">
        <v>2602</v>
      </c>
      <c r="E2421" s="2" t="s">
        <v>216</v>
      </c>
      <c r="F2421" s="3">
        <v>42705</v>
      </c>
      <c r="G2421" s="2" t="str">
        <f>"9781438463131"</f>
        <v>9781438463131</v>
      </c>
      <c r="H2421" s="2" t="s">
        <v>14</v>
      </c>
      <c r="I2421" s="4">
        <v>43873.39166666667</v>
      </c>
      <c r="J2421" s="2" t="s">
        <v>2604</v>
      </c>
    </row>
    <row r="2422" spans="1:10" ht="135" x14ac:dyDescent="0.25">
      <c r="A2422" s="2" t="s">
        <v>74</v>
      </c>
      <c r="B2422" s="2">
        <v>194</v>
      </c>
      <c r="C2422" s="2" t="s">
        <v>10751</v>
      </c>
      <c r="D2422" s="2" t="s">
        <v>10750</v>
      </c>
      <c r="E2422" s="2" t="s">
        <v>674</v>
      </c>
      <c r="F2422" s="3">
        <v>42401</v>
      </c>
      <c r="G2422" s="2" t="str">
        <f>""</f>
        <v/>
      </c>
      <c r="H2422" s="2" t="s">
        <v>14</v>
      </c>
      <c r="I2422" s="4">
        <v>43038.831944444442</v>
      </c>
      <c r="J2422" s="2" t="s">
        <v>10752</v>
      </c>
    </row>
    <row r="2423" spans="1:10" ht="135" x14ac:dyDescent="0.25">
      <c r="A2423" s="2" t="s">
        <v>74</v>
      </c>
      <c r="B2423" s="2">
        <v>194</v>
      </c>
      <c r="C2423" s="2" t="s">
        <v>7794</v>
      </c>
      <c r="D2423" s="2" t="s">
        <v>7793</v>
      </c>
      <c r="E2423" s="2" t="s">
        <v>69</v>
      </c>
      <c r="F2423" s="3">
        <v>43171</v>
      </c>
      <c r="G2423" s="2" t="str">
        <f>"9780253031983"</f>
        <v>9780253031983</v>
      </c>
      <c r="H2423" s="2" t="s">
        <v>14</v>
      </c>
      <c r="I2423" s="4">
        <v>43389.443749999999</v>
      </c>
      <c r="J2423" s="2" t="s">
        <v>7795</v>
      </c>
    </row>
    <row r="2424" spans="1:10" ht="135" x14ac:dyDescent="0.25">
      <c r="A2424" s="2" t="s">
        <v>74</v>
      </c>
      <c r="B2424" s="2">
        <v>172.09200000000001</v>
      </c>
      <c r="C2424" s="2" t="s">
        <v>12975</v>
      </c>
      <c r="D2424" s="2" t="s">
        <v>12974</v>
      </c>
      <c r="E2424" s="2" t="s">
        <v>69</v>
      </c>
      <c r="F2424" s="3">
        <v>42499</v>
      </c>
      <c r="G2424" s="2" t="str">
        <f>"9780253021182"</f>
        <v>9780253021182</v>
      </c>
      <c r="H2424" s="2" t="s">
        <v>14</v>
      </c>
      <c r="I2424" s="4">
        <v>42751.711805555555</v>
      </c>
      <c r="J2424" s="2" t="s">
        <v>12976</v>
      </c>
    </row>
    <row r="2425" spans="1:10" ht="135" x14ac:dyDescent="0.25">
      <c r="A2425" s="2" t="s">
        <v>74</v>
      </c>
      <c r="B2425" s="2">
        <v>142.69999999999999</v>
      </c>
      <c r="C2425" s="2" t="s">
        <v>11039</v>
      </c>
      <c r="D2425" s="2" t="s">
        <v>11038</v>
      </c>
      <c r="E2425" s="2" t="s">
        <v>216</v>
      </c>
      <c r="F2425" s="3">
        <v>41730</v>
      </c>
      <c r="G2425" s="2" t="str">
        <f>"9781438450179"</f>
        <v>9781438450179</v>
      </c>
      <c r="H2425" s="2" t="s">
        <v>14</v>
      </c>
      <c r="I2425" s="4">
        <v>43020.85</v>
      </c>
      <c r="J2425" s="2" t="s">
        <v>11040</v>
      </c>
    </row>
    <row r="2426" spans="1:10" ht="135" x14ac:dyDescent="0.25">
      <c r="A2426" s="2" t="s">
        <v>74</v>
      </c>
      <c r="B2426" s="2">
        <v>180</v>
      </c>
      <c r="C2426" s="2" t="s">
        <v>2373</v>
      </c>
      <c r="D2426" s="2" t="s">
        <v>2372</v>
      </c>
      <c r="E2426" s="2" t="s">
        <v>216</v>
      </c>
      <c r="F2426" s="3">
        <v>43617</v>
      </c>
      <c r="G2426" s="2" t="str">
        <f>"9781438474908"</f>
        <v>9781438474908</v>
      </c>
      <c r="H2426" s="2" t="s">
        <v>14</v>
      </c>
      <c r="I2426" s="4">
        <v>43888.888888888891</v>
      </c>
      <c r="J2426" s="2" t="s">
        <v>2374</v>
      </c>
    </row>
    <row r="2427" spans="1:10" ht="135" x14ac:dyDescent="0.25">
      <c r="A2427" s="2" t="s">
        <v>74</v>
      </c>
      <c r="B2427" s="2">
        <v>190</v>
      </c>
      <c r="C2427" s="2" t="s">
        <v>2138</v>
      </c>
      <c r="D2427" s="2" t="s">
        <v>2136</v>
      </c>
      <c r="E2427" s="2" t="s">
        <v>2137</v>
      </c>
      <c r="F2427" s="3">
        <v>41579</v>
      </c>
      <c r="G2427" s="2" t="str">
        <f>"9780334052470"</f>
        <v>9780334052470</v>
      </c>
      <c r="H2427" s="2" t="s">
        <v>14</v>
      </c>
      <c r="I2427" s="4">
        <v>43911.481249999997</v>
      </c>
      <c r="J2427" s="2" t="s">
        <v>2139</v>
      </c>
    </row>
    <row r="2428" spans="1:10" ht="135" x14ac:dyDescent="0.25">
      <c r="A2428" s="2" t="s">
        <v>74</v>
      </c>
      <c r="B2428" s="2" t="s">
        <v>6341</v>
      </c>
      <c r="C2428" s="2" t="s">
        <v>6342</v>
      </c>
      <c r="D2428" s="2" t="s">
        <v>6340</v>
      </c>
      <c r="E2428" s="2" t="s">
        <v>397</v>
      </c>
      <c r="F2428" s="3">
        <v>43227</v>
      </c>
      <c r="G2428" s="2" t="str">
        <f>"9780822983415"</f>
        <v>9780822983415</v>
      </c>
      <c r="H2428" s="2" t="s">
        <v>14</v>
      </c>
      <c r="I2428" s="4">
        <v>43523.902083333334</v>
      </c>
      <c r="J2428" s="2" t="s">
        <v>6343</v>
      </c>
    </row>
    <row r="2429" spans="1:10" ht="135" x14ac:dyDescent="0.25">
      <c r="A2429" s="2" t="s">
        <v>74</v>
      </c>
      <c r="B2429" s="2" t="s">
        <v>3068</v>
      </c>
      <c r="C2429" s="2" t="s">
        <v>3069</v>
      </c>
      <c r="D2429" s="2" t="s">
        <v>3067</v>
      </c>
      <c r="E2429" s="2" t="s">
        <v>216</v>
      </c>
      <c r="F2429" s="3">
        <v>41974</v>
      </c>
      <c r="G2429" s="2" t="str">
        <f>"9781438453798"</f>
        <v>9781438453798</v>
      </c>
      <c r="H2429" s="2" t="s">
        <v>14</v>
      </c>
      <c r="I2429" s="4">
        <v>43818.495138888888</v>
      </c>
      <c r="J2429" s="2" t="s">
        <v>3070</v>
      </c>
    </row>
    <row r="2430" spans="1:10" ht="135" x14ac:dyDescent="0.25">
      <c r="A2430" s="2" t="s">
        <v>74</v>
      </c>
      <c r="B2430" s="2">
        <v>146.30000000000001</v>
      </c>
      <c r="C2430" s="2" t="s">
        <v>1263</v>
      </c>
      <c r="D2430" s="2" t="s">
        <v>12181</v>
      </c>
      <c r="E2430" s="2" t="s">
        <v>37</v>
      </c>
      <c r="F2430" s="3">
        <v>42384</v>
      </c>
      <c r="G2430" s="2" t="str">
        <f>"9783319248202"</f>
        <v>9783319248202</v>
      </c>
      <c r="H2430" s="2" t="s">
        <v>14</v>
      </c>
      <c r="I2430" s="4">
        <v>42838.468055555553</v>
      </c>
      <c r="J2430" s="2" t="s">
        <v>12182</v>
      </c>
    </row>
    <row r="2431" spans="1:10" ht="135" x14ac:dyDescent="0.25">
      <c r="A2431" s="2" t="s">
        <v>74</v>
      </c>
      <c r="B2431" s="2" t="s">
        <v>10462</v>
      </c>
      <c r="C2431" s="2" t="s">
        <v>10463</v>
      </c>
      <c r="D2431" s="2" t="s">
        <v>10461</v>
      </c>
      <c r="E2431" s="2" t="s">
        <v>73</v>
      </c>
      <c r="F2431" s="3">
        <v>42815</v>
      </c>
      <c r="G2431" s="2" t="str">
        <f>"9781452953465"</f>
        <v>9781452953465</v>
      </c>
      <c r="H2431" s="2" t="s">
        <v>14</v>
      </c>
      <c r="I2431" s="4">
        <v>43055.501388888886</v>
      </c>
      <c r="J2431" s="2" t="s">
        <v>10464</v>
      </c>
    </row>
    <row r="2432" spans="1:10" ht="135" x14ac:dyDescent="0.25">
      <c r="A2432" s="2" t="s">
        <v>74</v>
      </c>
      <c r="B2432" s="2">
        <v>121</v>
      </c>
      <c r="C2432" s="2" t="s">
        <v>11045</v>
      </c>
      <c r="D2432" s="2" t="s">
        <v>11044</v>
      </c>
      <c r="E2432" s="2" t="s">
        <v>216</v>
      </c>
      <c r="F2432" s="3">
        <v>42461</v>
      </c>
      <c r="G2432" s="2" t="str">
        <f>"9781438459608"</f>
        <v>9781438459608</v>
      </c>
      <c r="H2432" s="2" t="s">
        <v>14</v>
      </c>
      <c r="I2432" s="4">
        <v>43020.811805555553</v>
      </c>
      <c r="J2432" s="2" t="s">
        <v>11046</v>
      </c>
    </row>
    <row r="2433" spans="1:10" ht="135" x14ac:dyDescent="0.25">
      <c r="A2433" s="2" t="s">
        <v>74</v>
      </c>
      <c r="B2433" s="2">
        <v>194</v>
      </c>
      <c r="C2433" s="2" t="s">
        <v>11042</v>
      </c>
      <c r="D2433" s="2" t="s">
        <v>11041</v>
      </c>
      <c r="E2433" s="2" t="s">
        <v>216</v>
      </c>
      <c r="F2433" s="3">
        <v>42644</v>
      </c>
      <c r="G2433" s="2" t="str">
        <f>"9781438462325"</f>
        <v>9781438462325</v>
      </c>
      <c r="H2433" s="2" t="s">
        <v>14</v>
      </c>
      <c r="I2433" s="4">
        <v>43020.81527777778</v>
      </c>
      <c r="J2433" s="2" t="s">
        <v>11043</v>
      </c>
    </row>
    <row r="2434" spans="1:10" ht="135" x14ac:dyDescent="0.25">
      <c r="A2434" s="2" t="s">
        <v>74</v>
      </c>
      <c r="B2434" s="2" t="s">
        <v>11705</v>
      </c>
      <c r="C2434" s="2" t="s">
        <v>11698</v>
      </c>
      <c r="D2434" s="2" t="s">
        <v>11704</v>
      </c>
      <c r="E2434" s="2" t="s">
        <v>11</v>
      </c>
      <c r="F2434" s="3">
        <v>39142</v>
      </c>
      <c r="G2434" s="2" t="str">
        <f>"9780813216676"</f>
        <v>9780813216676</v>
      </c>
      <c r="H2434" s="2" t="s">
        <v>14</v>
      </c>
      <c r="I2434" s="4">
        <v>42912.563194444447</v>
      </c>
      <c r="J2434" s="2" t="s">
        <v>11706</v>
      </c>
    </row>
    <row r="2435" spans="1:10" ht="135" x14ac:dyDescent="0.25">
      <c r="A2435" s="2" t="s">
        <v>74</v>
      </c>
      <c r="B2435" s="2">
        <v>110</v>
      </c>
      <c r="C2435" s="2" t="s">
        <v>11649</v>
      </c>
      <c r="D2435" s="2" t="s">
        <v>11648</v>
      </c>
      <c r="E2435" s="2" t="s">
        <v>80</v>
      </c>
      <c r="F2435" s="3">
        <v>42489</v>
      </c>
      <c r="G2435" s="2" t="str">
        <f>"9783653066227"</f>
        <v>9783653066227</v>
      </c>
      <c r="H2435" s="2" t="s">
        <v>14</v>
      </c>
      <c r="I2435" s="4">
        <v>42916.670138888891</v>
      </c>
      <c r="J2435" s="2" t="s">
        <v>11650</v>
      </c>
    </row>
    <row r="2436" spans="1:10" ht="135" x14ac:dyDescent="0.25">
      <c r="A2436" s="2" t="s">
        <v>74</v>
      </c>
      <c r="B2436" s="2">
        <v>121</v>
      </c>
      <c r="C2436" s="2" t="s">
        <v>1263</v>
      </c>
      <c r="D2436" s="2" t="s">
        <v>11971</v>
      </c>
      <c r="E2436" s="2" t="s">
        <v>37</v>
      </c>
      <c r="F2436" s="3">
        <v>42690</v>
      </c>
      <c r="G2436" s="2" t="str">
        <f>"9783319443096"</f>
        <v>9783319443096</v>
      </c>
      <c r="H2436" s="2" t="s">
        <v>14</v>
      </c>
      <c r="I2436" s="4">
        <v>42866.602083333331</v>
      </c>
      <c r="J2436" s="2" t="s">
        <v>11972</v>
      </c>
    </row>
    <row r="2437" spans="1:10" ht="135" x14ac:dyDescent="0.25">
      <c r="A2437" s="2" t="s">
        <v>74</v>
      </c>
      <c r="B2437" s="2" t="s">
        <v>2430</v>
      </c>
      <c r="C2437" s="2" t="s">
        <v>2431</v>
      </c>
      <c r="D2437" s="2" t="s">
        <v>2429</v>
      </c>
      <c r="E2437" s="2" t="s">
        <v>216</v>
      </c>
      <c r="F2437" s="3">
        <v>41699</v>
      </c>
      <c r="G2437" s="2" t="str">
        <f>"9781438450964"</f>
        <v>9781438450964</v>
      </c>
      <c r="H2437" s="2" t="s">
        <v>14</v>
      </c>
      <c r="I2437" s="4">
        <v>43885.770833333336</v>
      </c>
      <c r="J2437" s="2" t="s">
        <v>2432</v>
      </c>
    </row>
    <row r="2438" spans="1:10" ht="135" x14ac:dyDescent="0.25">
      <c r="A2438" s="2" t="s">
        <v>74</v>
      </c>
      <c r="B2438" s="2">
        <v>181.06092000000001</v>
      </c>
      <c r="C2438" s="2" t="s">
        <v>12377</v>
      </c>
      <c r="D2438" s="2" t="s">
        <v>12376</v>
      </c>
      <c r="E2438" s="2" t="s">
        <v>69</v>
      </c>
      <c r="F2438" s="3">
        <v>42716</v>
      </c>
      <c r="G2438" s="2" t="str">
        <f>"9780253023872"</f>
        <v>9780253023872</v>
      </c>
      <c r="H2438" s="2" t="s">
        <v>14</v>
      </c>
      <c r="I2438" s="4">
        <v>42813.386111111111</v>
      </c>
      <c r="J2438" s="2" t="s">
        <v>12378</v>
      </c>
    </row>
    <row r="2439" spans="1:10" ht="135" x14ac:dyDescent="0.25">
      <c r="A2439" s="2" t="s">
        <v>74</v>
      </c>
      <c r="B2439" s="2">
        <v>181.06092000000001</v>
      </c>
      <c r="C2439" s="2" t="s">
        <v>11955</v>
      </c>
      <c r="D2439" s="2" t="s">
        <v>11954</v>
      </c>
      <c r="E2439" s="2" t="s">
        <v>310</v>
      </c>
      <c r="F2439" s="3">
        <v>41450</v>
      </c>
      <c r="G2439" s="2" t="str">
        <f>"9780815652144"</f>
        <v>9780815652144</v>
      </c>
      <c r="H2439" s="2" t="s">
        <v>14</v>
      </c>
      <c r="I2439" s="4">
        <v>42867.668749999997</v>
      </c>
      <c r="J2439" s="2" t="s">
        <v>11956</v>
      </c>
    </row>
    <row r="2440" spans="1:10" ht="135" x14ac:dyDescent="0.25">
      <c r="A2440" s="2" t="s">
        <v>74</v>
      </c>
      <c r="B2440" s="2">
        <v>121</v>
      </c>
      <c r="C2440" s="2" t="s">
        <v>281</v>
      </c>
      <c r="D2440" s="2" t="s">
        <v>280</v>
      </c>
      <c r="E2440" s="2" t="s">
        <v>216</v>
      </c>
      <c r="F2440" s="3">
        <v>43132</v>
      </c>
      <c r="G2440" s="2" t="str">
        <f>"9781438468228"</f>
        <v>9781438468228</v>
      </c>
      <c r="H2440" s="2" t="s">
        <v>14</v>
      </c>
      <c r="I2440" s="4">
        <v>44047.893750000003</v>
      </c>
      <c r="J2440" s="2" t="s">
        <v>282</v>
      </c>
    </row>
    <row r="2441" spans="1:10" ht="135" x14ac:dyDescent="0.25">
      <c r="A2441" s="2" t="s">
        <v>74</v>
      </c>
      <c r="B2441" s="2">
        <v>128</v>
      </c>
      <c r="C2441" s="2" t="s">
        <v>1263</v>
      </c>
      <c r="D2441" s="2" t="s">
        <v>6249</v>
      </c>
      <c r="E2441" s="2" t="s">
        <v>37</v>
      </c>
      <c r="F2441" s="3">
        <v>42695</v>
      </c>
      <c r="G2441" s="2" t="str">
        <f>"9783319397412"</f>
        <v>9783319397412</v>
      </c>
      <c r="H2441" s="2" t="s">
        <v>14</v>
      </c>
      <c r="I2441" s="4">
        <v>43530.031944444447</v>
      </c>
      <c r="J2441" s="2" t="s">
        <v>6250</v>
      </c>
    </row>
    <row r="2442" spans="1:10" ht="135" x14ac:dyDescent="0.25">
      <c r="A2442" s="2" t="s">
        <v>74</v>
      </c>
      <c r="B2442" s="2">
        <v>141.69999999999999</v>
      </c>
      <c r="C2442" s="2" t="s">
        <v>4515</v>
      </c>
      <c r="D2442" s="2" t="s">
        <v>4514</v>
      </c>
      <c r="E2442" s="2" t="s">
        <v>73</v>
      </c>
      <c r="F2442" s="3">
        <v>41518</v>
      </c>
      <c r="G2442" s="2" t="str">
        <f>"9781937561550"</f>
        <v>9781937561550</v>
      </c>
      <c r="H2442" s="2" t="s">
        <v>14</v>
      </c>
      <c r="I2442" s="4">
        <v>43655.625</v>
      </c>
      <c r="J2442" s="2" t="s">
        <v>4516</v>
      </c>
    </row>
    <row r="2443" spans="1:10" ht="135" x14ac:dyDescent="0.25">
      <c r="A2443" s="2" t="s">
        <v>74</v>
      </c>
      <c r="B2443" s="2">
        <v>124</v>
      </c>
      <c r="C2443" s="2" t="s">
        <v>1462</v>
      </c>
      <c r="D2443" s="2" t="s">
        <v>1461</v>
      </c>
      <c r="E2443" s="2" t="s">
        <v>73</v>
      </c>
      <c r="F2443" s="3">
        <v>42415</v>
      </c>
      <c r="G2443" s="2" t="str">
        <f>"9781452950129"</f>
        <v>9781452950129</v>
      </c>
      <c r="H2443" s="2" t="s">
        <v>14</v>
      </c>
      <c r="I2443" s="4">
        <v>43942.682638888888</v>
      </c>
      <c r="J2443" s="2" t="s">
        <v>1463</v>
      </c>
    </row>
    <row r="2444" spans="1:10" ht="135" x14ac:dyDescent="0.25">
      <c r="A2444" s="2" t="s">
        <v>74</v>
      </c>
      <c r="B2444" s="2">
        <v>179.7</v>
      </c>
      <c r="C2444" s="2" t="s">
        <v>1263</v>
      </c>
      <c r="D2444" s="2" t="s">
        <v>1262</v>
      </c>
      <c r="E2444" s="2" t="s">
        <v>37</v>
      </c>
      <c r="F2444" s="3">
        <v>42245</v>
      </c>
      <c r="G2444" s="2" t="str">
        <f>"9783319220505"</f>
        <v>9783319220505</v>
      </c>
      <c r="H2444" s="2" t="s">
        <v>14</v>
      </c>
      <c r="I2444" s="4">
        <v>43952.504166666666</v>
      </c>
      <c r="J2444" s="2" t="s">
        <v>1264</v>
      </c>
    </row>
    <row r="2445" spans="1:10" ht="135" x14ac:dyDescent="0.25">
      <c r="A2445" s="2" t="s">
        <v>74</v>
      </c>
      <c r="B2445" s="2" t="s">
        <v>12804</v>
      </c>
      <c r="C2445" s="2" t="s">
        <v>12805</v>
      </c>
      <c r="D2445" s="2" t="s">
        <v>12803</v>
      </c>
      <c r="E2445" s="2" t="s">
        <v>216</v>
      </c>
      <c r="F2445" s="3">
        <v>41760</v>
      </c>
      <c r="G2445" s="2" t="str">
        <f>"9781438452081"</f>
        <v>9781438452081</v>
      </c>
      <c r="H2445" s="2" t="s">
        <v>14</v>
      </c>
      <c r="I2445" s="4">
        <v>42772.763888888891</v>
      </c>
      <c r="J2445" s="2" t="s">
        <v>12806</v>
      </c>
    </row>
    <row r="2446" spans="1:10" ht="135" x14ac:dyDescent="0.25">
      <c r="A2446" s="2" t="s">
        <v>74</v>
      </c>
      <c r="B2446" s="2">
        <v>181.12</v>
      </c>
      <c r="C2446" s="2" t="s">
        <v>8418</v>
      </c>
      <c r="D2446" s="2" t="s">
        <v>8417</v>
      </c>
      <c r="E2446" s="2" t="s">
        <v>69</v>
      </c>
      <c r="F2446" s="3">
        <v>42248</v>
      </c>
      <c r="G2446" s="2" t="str">
        <f>"9780253017864"</f>
        <v>9780253017864</v>
      </c>
      <c r="H2446" s="2" t="s">
        <v>14</v>
      </c>
      <c r="I2446" s="4">
        <v>43311.931250000001</v>
      </c>
      <c r="J2446" s="2" t="s">
        <v>8419</v>
      </c>
    </row>
    <row r="2447" spans="1:10" ht="195" x14ac:dyDescent="0.25">
      <c r="A2447" s="2" t="s">
        <v>74</v>
      </c>
      <c r="B2447" s="2" t="s">
        <v>4050</v>
      </c>
      <c r="C2447" s="2" t="s">
        <v>4051</v>
      </c>
      <c r="D2447" s="2" t="s">
        <v>4049</v>
      </c>
      <c r="E2447" s="2" t="s">
        <v>216</v>
      </c>
      <c r="F2447" s="3">
        <v>43525</v>
      </c>
      <c r="G2447" s="2" t="str">
        <f>"9781438473116"</f>
        <v>9781438473116</v>
      </c>
      <c r="H2447" s="2" t="s">
        <v>14</v>
      </c>
      <c r="I2447" s="4">
        <v>43720.604861111111</v>
      </c>
      <c r="J2447" s="2" t="s">
        <v>4052</v>
      </c>
    </row>
    <row r="2448" spans="1:10" ht="135" x14ac:dyDescent="0.25">
      <c r="A2448" s="2" t="s">
        <v>74</v>
      </c>
      <c r="B2448" s="2" t="s">
        <v>4128</v>
      </c>
      <c r="C2448" s="2" t="s">
        <v>4129</v>
      </c>
      <c r="D2448" s="2" t="s">
        <v>4127</v>
      </c>
      <c r="E2448" s="2" t="s">
        <v>216</v>
      </c>
      <c r="F2448" s="3">
        <v>43647</v>
      </c>
      <c r="G2448" s="2" t="str">
        <f>"9781438475080"</f>
        <v>9781438475080</v>
      </c>
      <c r="H2448" s="2" t="s">
        <v>14</v>
      </c>
      <c r="I2448" s="4">
        <v>43710.362500000003</v>
      </c>
      <c r="J2448" s="2" t="s">
        <v>4130</v>
      </c>
    </row>
    <row r="2449" spans="1:10" ht="135" x14ac:dyDescent="0.25">
      <c r="A2449" s="2" t="s">
        <v>74</v>
      </c>
      <c r="B2449" s="2">
        <v>111.1</v>
      </c>
      <c r="C2449" s="2" t="s">
        <v>1992</v>
      </c>
      <c r="D2449" s="2" t="s">
        <v>1991</v>
      </c>
      <c r="E2449" s="2" t="s">
        <v>84</v>
      </c>
      <c r="F2449" s="3">
        <v>40534</v>
      </c>
      <c r="G2449" s="2" t="str">
        <f>"9789401579063"</f>
        <v>9789401579063</v>
      </c>
      <c r="H2449" s="2" t="s">
        <v>14</v>
      </c>
      <c r="I2449" s="4">
        <v>43919.176388888889</v>
      </c>
      <c r="J2449" s="2" t="s">
        <v>1993</v>
      </c>
    </row>
    <row r="2450" spans="1:10" ht="135" x14ac:dyDescent="0.25">
      <c r="A2450" s="2" t="s">
        <v>74</v>
      </c>
      <c r="B2450" s="2">
        <v>170</v>
      </c>
      <c r="C2450" s="2" t="s">
        <v>10814</v>
      </c>
      <c r="D2450" s="2" t="s">
        <v>10813</v>
      </c>
      <c r="E2450" s="2" t="s">
        <v>11</v>
      </c>
      <c r="F2450" s="3">
        <v>42300</v>
      </c>
      <c r="G2450" s="2" t="str">
        <f>"9780813227863"</f>
        <v>9780813227863</v>
      </c>
      <c r="H2450" s="2" t="s">
        <v>14</v>
      </c>
      <c r="I2450" s="4">
        <v>43034.79791666667</v>
      </c>
      <c r="J2450" s="2" t="s">
        <v>10815</v>
      </c>
    </row>
    <row r="2451" spans="1:10" ht="135" x14ac:dyDescent="0.25">
      <c r="A2451" s="2" t="s">
        <v>74</v>
      </c>
      <c r="B2451" s="2" t="s">
        <v>10747</v>
      </c>
      <c r="C2451" s="2" t="s">
        <v>10748</v>
      </c>
      <c r="D2451" s="2" t="s">
        <v>10746</v>
      </c>
      <c r="E2451" s="2" t="s">
        <v>216</v>
      </c>
      <c r="F2451" s="3">
        <v>42522</v>
      </c>
      <c r="G2451" s="2" t="str">
        <f>"9781438461113"</f>
        <v>9781438461113</v>
      </c>
      <c r="H2451" s="2" t="s">
        <v>14</v>
      </c>
      <c r="I2451" s="4">
        <v>43038.836805555555</v>
      </c>
      <c r="J2451" s="2" t="s">
        <v>10749</v>
      </c>
    </row>
    <row r="2452" spans="1:10" ht="135" x14ac:dyDescent="0.25">
      <c r="A2452" s="2" t="s">
        <v>74</v>
      </c>
      <c r="B2452" s="2">
        <v>190</v>
      </c>
      <c r="C2452" s="2" t="s">
        <v>11694</v>
      </c>
      <c r="D2452" s="2" t="s">
        <v>11693</v>
      </c>
      <c r="E2452" s="2" t="s">
        <v>11</v>
      </c>
      <c r="F2452" s="3">
        <v>40610</v>
      </c>
      <c r="G2452" s="2" t="str">
        <f>"9780813219141"</f>
        <v>9780813219141</v>
      </c>
      <c r="H2452" s="2" t="s">
        <v>14</v>
      </c>
      <c r="I2452" s="4">
        <v>42912.574999999997</v>
      </c>
      <c r="J2452" s="2" t="s">
        <v>11695</v>
      </c>
    </row>
    <row r="2453" spans="1:10" ht="135" x14ac:dyDescent="0.25">
      <c r="A2453" s="2" t="s">
        <v>74</v>
      </c>
      <c r="B2453" s="2">
        <v>190</v>
      </c>
      <c r="C2453" s="2" t="s">
        <v>5891</v>
      </c>
      <c r="D2453" s="2" t="s">
        <v>5890</v>
      </c>
      <c r="E2453" s="2" t="s">
        <v>69</v>
      </c>
      <c r="F2453" s="3">
        <v>42828</v>
      </c>
      <c r="G2453" s="2" t="str">
        <f>"9780253025852"</f>
        <v>9780253025852</v>
      </c>
      <c r="H2453" s="2" t="s">
        <v>14</v>
      </c>
      <c r="I2453" s="4">
        <v>43561.510416666664</v>
      </c>
      <c r="J2453" s="2" t="s">
        <v>5892</v>
      </c>
    </row>
    <row r="2454" spans="1:10" ht="135" x14ac:dyDescent="0.25">
      <c r="A2454" s="2" t="s">
        <v>74</v>
      </c>
      <c r="B2454" s="2">
        <v>193</v>
      </c>
      <c r="C2454" s="2" t="s">
        <v>11176</v>
      </c>
      <c r="D2454" s="2" t="s">
        <v>11175</v>
      </c>
      <c r="E2454" s="2" t="s">
        <v>216</v>
      </c>
      <c r="F2454" s="3">
        <v>42064</v>
      </c>
      <c r="G2454" s="2" t="str">
        <f>"9781438454511"</f>
        <v>9781438454511</v>
      </c>
      <c r="H2454" s="2" t="s">
        <v>14</v>
      </c>
      <c r="I2454" s="4">
        <v>43010.843055555553</v>
      </c>
      <c r="J2454" s="2" t="s">
        <v>11177</v>
      </c>
    </row>
    <row r="2455" spans="1:10" ht="135" x14ac:dyDescent="0.25">
      <c r="A2455" s="2" t="s">
        <v>74</v>
      </c>
      <c r="B2455" s="2">
        <v>193</v>
      </c>
      <c r="C2455" s="2" t="s">
        <v>1263</v>
      </c>
      <c r="D2455" s="2" t="s">
        <v>7845</v>
      </c>
      <c r="E2455" s="2" t="s">
        <v>37</v>
      </c>
      <c r="F2455" s="3">
        <v>42970</v>
      </c>
      <c r="G2455" s="2" t="str">
        <f>"9783319570938"</f>
        <v>9783319570938</v>
      </c>
      <c r="H2455" s="2" t="s">
        <v>14</v>
      </c>
      <c r="I2455" s="4">
        <v>43384.823611111111</v>
      </c>
      <c r="J2455" s="2" t="s">
        <v>7846</v>
      </c>
    </row>
    <row r="2456" spans="1:10" ht="135" x14ac:dyDescent="0.25">
      <c r="A2456" s="2" t="s">
        <v>74</v>
      </c>
      <c r="B2456" s="2">
        <v>194</v>
      </c>
      <c r="C2456" s="2" t="s">
        <v>8687</v>
      </c>
      <c r="D2456" s="2" t="s">
        <v>8686</v>
      </c>
      <c r="E2456" s="2" t="s">
        <v>73</v>
      </c>
      <c r="F2456" s="3">
        <v>42845</v>
      </c>
      <c r="G2456" s="2" t="str">
        <f>"9781452953489"</f>
        <v>9781452953489</v>
      </c>
      <c r="H2456" s="2" t="s">
        <v>14</v>
      </c>
      <c r="I2456" s="4">
        <v>43266.543749999997</v>
      </c>
      <c r="J2456" s="2" t="s">
        <v>8688</v>
      </c>
    </row>
    <row r="2457" spans="1:10" ht="135" x14ac:dyDescent="0.25">
      <c r="A2457" s="2" t="s">
        <v>74</v>
      </c>
      <c r="B2457" s="2">
        <v>113</v>
      </c>
      <c r="C2457" s="2" t="s">
        <v>10704</v>
      </c>
      <c r="D2457" s="2" t="s">
        <v>12392</v>
      </c>
      <c r="E2457" s="2" t="s">
        <v>54</v>
      </c>
      <c r="F2457" s="3">
        <v>42291</v>
      </c>
      <c r="G2457" s="2" t="str">
        <f>"9780804796781"</f>
        <v>9780804796781</v>
      </c>
      <c r="H2457" s="2" t="s">
        <v>14</v>
      </c>
      <c r="I2457" s="4">
        <v>42811.493750000001</v>
      </c>
      <c r="J2457" s="2" t="s">
        <v>12393</v>
      </c>
    </row>
    <row r="2458" spans="1:10" ht="135" x14ac:dyDescent="0.25">
      <c r="A2458" s="2" t="s">
        <v>74</v>
      </c>
      <c r="B2458" s="2">
        <v>184</v>
      </c>
      <c r="C2458" s="2" t="s">
        <v>5598</v>
      </c>
      <c r="D2458" s="2" t="s">
        <v>5597</v>
      </c>
      <c r="E2458" s="2" t="s">
        <v>216</v>
      </c>
      <c r="F2458" s="3">
        <v>43313</v>
      </c>
      <c r="G2458" s="2" t="str">
        <f>"9781438470832"</f>
        <v>9781438470832</v>
      </c>
      <c r="H2458" s="2" t="s">
        <v>14</v>
      </c>
      <c r="I2458" s="4">
        <v>43586.631249999999</v>
      </c>
      <c r="J2458" s="2" t="s">
        <v>5599</v>
      </c>
    </row>
    <row r="2459" spans="1:10" ht="135" x14ac:dyDescent="0.25">
      <c r="A2459" s="2" t="s">
        <v>74</v>
      </c>
      <c r="B2459" s="2">
        <v>184</v>
      </c>
      <c r="C2459" s="2" t="s">
        <v>7191</v>
      </c>
      <c r="D2459" s="2" t="s">
        <v>7190</v>
      </c>
      <c r="E2459" s="2" t="s">
        <v>216</v>
      </c>
      <c r="F2459" s="3">
        <v>42979</v>
      </c>
      <c r="G2459" s="2" t="str">
        <f>"9781438466347"</f>
        <v>9781438466347</v>
      </c>
      <c r="H2459" s="2" t="s">
        <v>14</v>
      </c>
      <c r="I2459" s="4">
        <v>43436.407638888886</v>
      </c>
      <c r="J2459" s="2" t="s">
        <v>7192</v>
      </c>
    </row>
    <row r="2460" spans="1:10" ht="135" x14ac:dyDescent="0.25">
      <c r="A2460" s="2" t="s">
        <v>74</v>
      </c>
      <c r="B2460" s="2">
        <v>184</v>
      </c>
      <c r="C2460" s="2" t="s">
        <v>8160</v>
      </c>
      <c r="D2460" s="2" t="s">
        <v>8159</v>
      </c>
      <c r="E2460" s="2" t="s">
        <v>216</v>
      </c>
      <c r="F2460" s="3">
        <v>43070</v>
      </c>
      <c r="G2460" s="2" t="str">
        <f>"9781438467382"</f>
        <v>9781438467382</v>
      </c>
      <c r="H2460" s="2" t="s">
        <v>14</v>
      </c>
      <c r="I2460" s="4">
        <v>43346.419444444444</v>
      </c>
      <c r="J2460" s="2" t="s">
        <v>8161</v>
      </c>
    </row>
    <row r="2461" spans="1:10" ht="135" x14ac:dyDescent="0.25">
      <c r="A2461" s="2" t="s">
        <v>74</v>
      </c>
      <c r="B2461" s="2">
        <v>184</v>
      </c>
      <c r="C2461" s="2" t="s">
        <v>1314</v>
      </c>
      <c r="D2461" s="2" t="s">
        <v>1313</v>
      </c>
      <c r="E2461" s="2" t="s">
        <v>585</v>
      </c>
      <c r="F2461" s="3">
        <v>40026</v>
      </c>
      <c r="G2461" s="2" t="str">
        <f>"9780226993386"</f>
        <v>9780226993386</v>
      </c>
      <c r="H2461" s="2" t="s">
        <v>14</v>
      </c>
      <c r="I2461" s="4">
        <v>43949.508333333331</v>
      </c>
      <c r="J2461" s="2" t="s">
        <v>1315</v>
      </c>
    </row>
    <row r="2462" spans="1:10" ht="135" x14ac:dyDescent="0.25">
      <c r="A2462" s="2" t="s">
        <v>74</v>
      </c>
      <c r="B2462" s="2">
        <v>180</v>
      </c>
      <c r="C2462" s="2" t="s">
        <v>12353</v>
      </c>
      <c r="D2462" s="2" t="s">
        <v>12352</v>
      </c>
      <c r="E2462" s="2" t="s">
        <v>328</v>
      </c>
      <c r="F2462" s="3">
        <v>41432</v>
      </c>
      <c r="G2462" s="2" t="str">
        <f>"9780739183311"</f>
        <v>9780739183311</v>
      </c>
      <c r="H2462" s="2" t="s">
        <v>14</v>
      </c>
      <c r="I2462" s="4">
        <v>42814.657638888886</v>
      </c>
      <c r="J2462" s="2" t="s">
        <v>12354</v>
      </c>
    </row>
    <row r="2463" spans="1:10" ht="180" x14ac:dyDescent="0.25">
      <c r="A2463" s="2" t="s">
        <v>74</v>
      </c>
      <c r="B2463" s="2" t="s">
        <v>8465</v>
      </c>
      <c r="C2463" s="2" t="s">
        <v>9639</v>
      </c>
      <c r="D2463" s="2" t="s">
        <v>9638</v>
      </c>
      <c r="E2463" s="2" t="s">
        <v>8464</v>
      </c>
      <c r="F2463" s="3">
        <v>42081</v>
      </c>
      <c r="G2463" s="2" t="str">
        <f>"9781930972704"</f>
        <v>9781930972704</v>
      </c>
      <c r="H2463" s="2" t="s">
        <v>14</v>
      </c>
      <c r="I2463" s="4">
        <v>43143.431944444441</v>
      </c>
      <c r="J2463" s="2" t="s">
        <v>9640</v>
      </c>
    </row>
    <row r="2464" spans="1:10" ht="195" x14ac:dyDescent="0.25">
      <c r="A2464" s="2" t="s">
        <v>74</v>
      </c>
      <c r="B2464" s="2" t="s">
        <v>8465</v>
      </c>
      <c r="C2464" s="2" t="s">
        <v>8466</v>
      </c>
      <c r="D2464" s="2" t="s">
        <v>8463</v>
      </c>
      <c r="E2464" s="2" t="s">
        <v>8464</v>
      </c>
      <c r="F2464" s="3">
        <v>41066</v>
      </c>
      <c r="G2464" s="2" t="str">
        <f>"9781930972780"</f>
        <v>9781930972780</v>
      </c>
      <c r="H2464" s="2" t="s">
        <v>14</v>
      </c>
      <c r="I2464" s="4">
        <v>43304.238888888889</v>
      </c>
      <c r="J2464" s="2" t="s">
        <v>8467</v>
      </c>
    </row>
    <row r="2465" spans="1:10" ht="135" x14ac:dyDescent="0.25">
      <c r="A2465" s="2" t="s">
        <v>74</v>
      </c>
      <c r="B2465" s="2">
        <v>194</v>
      </c>
      <c r="C2465" s="2" t="s">
        <v>3556</v>
      </c>
      <c r="D2465" s="2" t="s">
        <v>10543</v>
      </c>
      <c r="E2465" s="2" t="s">
        <v>54</v>
      </c>
      <c r="F2465" s="3">
        <v>41864</v>
      </c>
      <c r="G2465" s="2" t="str">
        <f>"9780804793025"</f>
        <v>9780804793025</v>
      </c>
      <c r="H2465" s="2" t="s">
        <v>14</v>
      </c>
      <c r="I2465" s="4">
        <v>43049.806944444441</v>
      </c>
      <c r="J2465" s="2" t="s">
        <v>10544</v>
      </c>
    </row>
    <row r="2466" spans="1:10" ht="135" x14ac:dyDescent="0.25">
      <c r="A2466" s="2" t="s">
        <v>74</v>
      </c>
      <c r="B2466" s="2">
        <v>193</v>
      </c>
      <c r="C2466" s="2" t="s">
        <v>513</v>
      </c>
      <c r="D2466" s="2" t="s">
        <v>512</v>
      </c>
      <c r="E2466" s="2" t="s">
        <v>69</v>
      </c>
      <c r="F2466" s="3">
        <v>42492</v>
      </c>
      <c r="G2466" s="2" t="str">
        <f>"9780253020741"</f>
        <v>9780253020741</v>
      </c>
      <c r="H2466" s="2" t="s">
        <v>14</v>
      </c>
      <c r="I2466" s="4">
        <v>44016.452777777777</v>
      </c>
      <c r="J2466" s="2" t="s">
        <v>514</v>
      </c>
    </row>
    <row r="2467" spans="1:10" ht="135" x14ac:dyDescent="0.25">
      <c r="A2467" s="2" t="s">
        <v>74</v>
      </c>
      <c r="B2467" s="2">
        <v>193</v>
      </c>
      <c r="C2467" s="2" t="s">
        <v>408</v>
      </c>
      <c r="D2467" s="2" t="s">
        <v>407</v>
      </c>
      <c r="E2467" s="2" t="s">
        <v>69</v>
      </c>
      <c r="F2467" s="3">
        <v>42772</v>
      </c>
      <c r="G2467" s="2" t="str">
        <f>"9780253025036"</f>
        <v>9780253025036</v>
      </c>
      <c r="H2467" s="2" t="s">
        <v>14</v>
      </c>
      <c r="I2467" s="4">
        <v>44026.386111111111</v>
      </c>
      <c r="J2467" s="2" t="s">
        <v>409</v>
      </c>
    </row>
    <row r="2468" spans="1:10" ht="180" x14ac:dyDescent="0.25">
      <c r="A2468" s="2" t="s">
        <v>74</v>
      </c>
      <c r="B2468" s="2">
        <v>190</v>
      </c>
      <c r="C2468" s="2" t="s">
        <v>4529</v>
      </c>
      <c r="D2468" s="2" t="s">
        <v>4528</v>
      </c>
      <c r="E2468" s="2" t="s">
        <v>80</v>
      </c>
      <c r="F2468" s="3">
        <v>42293</v>
      </c>
      <c r="G2468" s="2" t="str">
        <f>"9783653043693"</f>
        <v>9783653043693</v>
      </c>
      <c r="H2468" s="2" t="s">
        <v>14</v>
      </c>
      <c r="I2468" s="4">
        <v>43652.761805555558</v>
      </c>
      <c r="J2468" s="2" t="s">
        <v>4530</v>
      </c>
    </row>
    <row r="2469" spans="1:10" ht="135" x14ac:dyDescent="0.25">
      <c r="A2469" s="2" t="s">
        <v>74</v>
      </c>
      <c r="B2469" s="2">
        <v>181.11</v>
      </c>
      <c r="C2469" s="2" t="s">
        <v>12693</v>
      </c>
      <c r="D2469" s="2" t="s">
        <v>12692</v>
      </c>
      <c r="E2469" s="2" t="s">
        <v>1291</v>
      </c>
      <c r="F2469" s="3">
        <v>41885</v>
      </c>
      <c r="G2469" s="2" t="str">
        <f>"9781624661921"</f>
        <v>9781624661921</v>
      </c>
      <c r="H2469" s="2" t="s">
        <v>14</v>
      </c>
      <c r="I2469" s="4">
        <v>42782.443749999999</v>
      </c>
      <c r="J2469" s="2" t="s">
        <v>12694</v>
      </c>
    </row>
    <row r="2470" spans="1:10" ht="135" x14ac:dyDescent="0.25">
      <c r="A2470" s="2" t="s">
        <v>74</v>
      </c>
      <c r="B2470" s="2">
        <v>181.07</v>
      </c>
      <c r="C2470" s="2" t="s">
        <v>8056</v>
      </c>
      <c r="D2470" s="2" t="s">
        <v>8055</v>
      </c>
      <c r="E2470" s="2" t="s">
        <v>156</v>
      </c>
      <c r="F2470" s="3">
        <v>43073</v>
      </c>
      <c r="G2470" s="2" t="str">
        <f>"9781469635118"</f>
        <v>9781469635118</v>
      </c>
      <c r="H2470" s="2" t="s">
        <v>14</v>
      </c>
      <c r="I2470" s="4">
        <v>43360.425694444442</v>
      </c>
      <c r="J2470" s="2" t="s">
        <v>8057</v>
      </c>
    </row>
    <row r="2471" spans="1:10" ht="150" x14ac:dyDescent="0.25">
      <c r="A2471" s="2" t="s">
        <v>74</v>
      </c>
      <c r="B2471" s="2">
        <v>142.69999999999999</v>
      </c>
      <c r="C2471" s="2" t="s">
        <v>10707</v>
      </c>
      <c r="D2471" s="2" t="s">
        <v>10706</v>
      </c>
      <c r="E2471" s="2" t="s">
        <v>328</v>
      </c>
      <c r="F2471" s="3">
        <v>41808</v>
      </c>
      <c r="G2471" s="2" t="str">
        <f>"9780739187173"</f>
        <v>9780739187173</v>
      </c>
      <c r="H2471" s="2" t="s">
        <v>14</v>
      </c>
      <c r="I2471" s="4">
        <v>43040.73541666667</v>
      </c>
      <c r="J2471" s="2" t="s">
        <v>10708</v>
      </c>
    </row>
    <row r="2472" spans="1:10" ht="135" x14ac:dyDescent="0.25">
      <c r="A2472" s="2" t="s">
        <v>74</v>
      </c>
      <c r="D2472" s="2" t="s">
        <v>716</v>
      </c>
      <c r="E2472" s="2" t="s">
        <v>216</v>
      </c>
      <c r="F2472" s="3">
        <v>43405</v>
      </c>
      <c r="G2472" s="2" t="str">
        <f>"9781438471594"</f>
        <v>9781438471594</v>
      </c>
      <c r="H2472" s="2" t="s">
        <v>14</v>
      </c>
      <c r="I2472" s="4">
        <v>43996.661805555559</v>
      </c>
      <c r="J2472" s="2" t="s">
        <v>717</v>
      </c>
    </row>
    <row r="2473" spans="1:10" ht="135" x14ac:dyDescent="0.25">
      <c r="A2473" s="2" t="s">
        <v>74</v>
      </c>
      <c r="B2473" s="2">
        <v>194</v>
      </c>
      <c r="C2473" s="2" t="s">
        <v>10256</v>
      </c>
      <c r="D2473" s="2" t="s">
        <v>10255</v>
      </c>
      <c r="E2473" s="2" t="s">
        <v>390</v>
      </c>
      <c r="F2473" s="3">
        <v>42658</v>
      </c>
      <c r="G2473" s="2" t="str">
        <f>"9780268100889"</f>
        <v>9780268100889</v>
      </c>
      <c r="H2473" s="2" t="s">
        <v>14</v>
      </c>
      <c r="I2473" s="4">
        <v>43075.752083333333</v>
      </c>
      <c r="J2473" s="2" t="s">
        <v>10257</v>
      </c>
    </row>
    <row r="2474" spans="1:10" ht="165" x14ac:dyDescent="0.25">
      <c r="A2474" s="2" t="s">
        <v>74</v>
      </c>
      <c r="B2474" s="2">
        <v>170.922</v>
      </c>
      <c r="C2474" s="2" t="s">
        <v>7369</v>
      </c>
      <c r="D2474" s="2" t="s">
        <v>7368</v>
      </c>
      <c r="E2474" s="2" t="s">
        <v>28</v>
      </c>
      <c r="F2474" s="3">
        <v>43035</v>
      </c>
      <c r="G2474" s="2" t="str">
        <f>"9780813940168"</f>
        <v>9780813940168</v>
      </c>
      <c r="H2474" s="2" t="s">
        <v>14</v>
      </c>
      <c r="I2474" s="4">
        <v>43422.488194444442</v>
      </c>
      <c r="J2474" s="2" t="s">
        <v>7370</v>
      </c>
    </row>
    <row r="2475" spans="1:10" ht="135" x14ac:dyDescent="0.25">
      <c r="A2475" s="2" t="s">
        <v>74</v>
      </c>
      <c r="B2475" s="2">
        <v>181.4</v>
      </c>
      <c r="C2475" s="2" t="s">
        <v>10923</v>
      </c>
      <c r="D2475" s="2" t="s">
        <v>10922</v>
      </c>
      <c r="E2475" s="2" t="s">
        <v>2747</v>
      </c>
      <c r="F2475" s="3">
        <v>42065</v>
      </c>
      <c r="G2475" s="2" t="str">
        <f>"9781453908235"</f>
        <v>9781453908235</v>
      </c>
      <c r="H2475" s="2" t="s">
        <v>14</v>
      </c>
      <c r="I2475" s="4">
        <v>43028.756249999999</v>
      </c>
      <c r="J2475" s="2" t="s">
        <v>10924</v>
      </c>
    </row>
    <row r="2476" spans="1:10" ht="135" x14ac:dyDescent="0.25">
      <c r="A2476" s="2" t="s">
        <v>74</v>
      </c>
      <c r="B2476" s="2">
        <v>191</v>
      </c>
      <c r="C2476" s="2" t="s">
        <v>2803</v>
      </c>
      <c r="D2476" s="2" t="s">
        <v>2802</v>
      </c>
      <c r="E2476" s="2" t="s">
        <v>101</v>
      </c>
      <c r="F2476" s="3">
        <v>43054</v>
      </c>
      <c r="G2476" s="2" t="str">
        <f>"9780810136243"</f>
        <v>9780810136243</v>
      </c>
      <c r="H2476" s="2" t="s">
        <v>14</v>
      </c>
      <c r="I2476" s="4">
        <v>43853.5625</v>
      </c>
      <c r="J2476" s="2" t="s">
        <v>2804</v>
      </c>
    </row>
    <row r="2477" spans="1:10" ht="150" x14ac:dyDescent="0.25">
      <c r="A2477" s="2" t="s">
        <v>74</v>
      </c>
      <c r="B2477" s="2">
        <v>193</v>
      </c>
      <c r="C2477" s="2" t="s">
        <v>9205</v>
      </c>
      <c r="D2477" s="2" t="s">
        <v>9204</v>
      </c>
      <c r="E2477" s="2" t="s">
        <v>69</v>
      </c>
      <c r="F2477" s="3">
        <v>42975</v>
      </c>
      <c r="G2477" s="2" t="str">
        <f>"9780253026071"</f>
        <v>9780253026071</v>
      </c>
      <c r="H2477" s="2" t="s">
        <v>14</v>
      </c>
      <c r="I2477" s="4">
        <v>43199.795138888891</v>
      </c>
      <c r="J2477" s="2" t="s">
        <v>9206</v>
      </c>
    </row>
    <row r="2478" spans="1:10" ht="135" x14ac:dyDescent="0.25">
      <c r="A2478" s="2" t="s">
        <v>74</v>
      </c>
      <c r="B2478" s="2">
        <v>128</v>
      </c>
      <c r="C2478" s="2" t="s">
        <v>4844</v>
      </c>
      <c r="D2478" s="2" t="s">
        <v>4843</v>
      </c>
      <c r="E2478" s="2" t="s">
        <v>69</v>
      </c>
      <c r="F2478" s="3">
        <v>42975</v>
      </c>
      <c r="G2478" s="2" t="str">
        <f>"9780253029416"</f>
        <v>9780253029416</v>
      </c>
      <c r="H2478" s="2" t="s">
        <v>14</v>
      </c>
      <c r="I2478" s="4">
        <v>43622.340277777781</v>
      </c>
      <c r="J2478" s="2" t="s">
        <v>4845</v>
      </c>
    </row>
    <row r="2479" spans="1:10" ht="135" x14ac:dyDescent="0.25">
      <c r="A2479" s="2" t="s">
        <v>74</v>
      </c>
      <c r="B2479" s="2" t="s">
        <v>8168</v>
      </c>
      <c r="C2479" s="2" t="s">
        <v>1263</v>
      </c>
      <c r="D2479" s="2" t="s">
        <v>8167</v>
      </c>
      <c r="E2479" s="2" t="s">
        <v>618</v>
      </c>
      <c r="F2479" s="3">
        <v>42312</v>
      </c>
      <c r="G2479" s="2" t="str">
        <f>"9781137538611"</f>
        <v>9781137538611</v>
      </c>
      <c r="H2479" s="2" t="s">
        <v>14</v>
      </c>
      <c r="I2479" s="4">
        <v>43344.999305555553</v>
      </c>
      <c r="J2479" s="2" t="s">
        <v>8169</v>
      </c>
    </row>
    <row r="2480" spans="1:10" ht="135" x14ac:dyDescent="0.25">
      <c r="A2480" s="2" t="s">
        <v>74</v>
      </c>
      <c r="B2480" s="2">
        <v>142.69999999999999</v>
      </c>
      <c r="C2480" s="2" t="s">
        <v>10976</v>
      </c>
      <c r="D2480" s="2" t="s">
        <v>10975</v>
      </c>
      <c r="E2480" s="2" t="s">
        <v>328</v>
      </c>
      <c r="F2480" s="3">
        <v>41251</v>
      </c>
      <c r="G2480" s="2" t="str">
        <f>"9780739173091"</f>
        <v>9780739173091</v>
      </c>
      <c r="H2480" s="2" t="s">
        <v>14</v>
      </c>
      <c r="I2480" s="4">
        <v>43024.870138888888</v>
      </c>
      <c r="J2480" s="2" t="s">
        <v>10977</v>
      </c>
    </row>
    <row r="2481" spans="1:10" ht="150" x14ac:dyDescent="0.25">
      <c r="A2481" s="2" t="s">
        <v>74</v>
      </c>
      <c r="B2481" s="2">
        <v>110</v>
      </c>
      <c r="C2481" s="2" t="s">
        <v>9958</v>
      </c>
      <c r="D2481" s="2" t="s">
        <v>9957</v>
      </c>
      <c r="E2481" s="2" t="s">
        <v>674</v>
      </c>
      <c r="F2481" s="3">
        <v>42006</v>
      </c>
      <c r="G2481" s="2" t="str">
        <f>"9780823262175"</f>
        <v>9780823262175</v>
      </c>
      <c r="H2481" s="2" t="s">
        <v>14</v>
      </c>
      <c r="I2481" s="4">
        <v>43116.570138888892</v>
      </c>
      <c r="J2481" s="2" t="s">
        <v>9959</v>
      </c>
    </row>
    <row r="2482" spans="1:10" ht="135" x14ac:dyDescent="0.25">
      <c r="A2482" s="2" t="s">
        <v>74</v>
      </c>
      <c r="B2482" s="2" t="s">
        <v>6552</v>
      </c>
      <c r="C2482" s="2" t="s">
        <v>6553</v>
      </c>
      <c r="D2482" s="2" t="s">
        <v>6551</v>
      </c>
      <c r="E2482" s="2" t="s">
        <v>54</v>
      </c>
      <c r="F2482" s="3">
        <v>42815</v>
      </c>
      <c r="G2482" s="2" t="str">
        <f>"9781503601482"</f>
        <v>9781503601482</v>
      </c>
      <c r="H2482" s="2" t="s">
        <v>14</v>
      </c>
      <c r="I2482" s="4">
        <v>43507.930555555555</v>
      </c>
      <c r="J2482" s="2" t="s">
        <v>6554</v>
      </c>
    </row>
    <row r="2483" spans="1:10" ht="135" x14ac:dyDescent="0.25">
      <c r="A2483" s="2" t="s">
        <v>74</v>
      </c>
      <c r="B2483" s="2" t="s">
        <v>451</v>
      </c>
      <c r="C2483" s="2" t="s">
        <v>452</v>
      </c>
      <c r="D2483" s="2" t="s">
        <v>450</v>
      </c>
      <c r="E2483" s="2" t="s">
        <v>101</v>
      </c>
      <c r="F2483" s="3">
        <v>43539</v>
      </c>
      <c r="G2483" s="2" t="str">
        <f>"9780810139374"</f>
        <v>9780810139374</v>
      </c>
      <c r="H2483" s="2" t="s">
        <v>14</v>
      </c>
      <c r="I2483" s="4">
        <v>44022.42291666667</v>
      </c>
      <c r="J2483" s="2" t="s">
        <v>453</v>
      </c>
    </row>
    <row r="2484" spans="1:10" ht="135" x14ac:dyDescent="0.25">
      <c r="A2484" s="2" t="s">
        <v>74</v>
      </c>
      <c r="B2484" s="2">
        <v>199.49199999999999</v>
      </c>
      <c r="C2484" s="2" t="s">
        <v>10737</v>
      </c>
      <c r="D2484" s="2" t="s">
        <v>10736</v>
      </c>
      <c r="E2484" s="2" t="s">
        <v>2747</v>
      </c>
      <c r="F2484" s="3">
        <v>42286</v>
      </c>
      <c r="G2484" s="2" t="str">
        <f>"9781453915714"</f>
        <v>9781453915714</v>
      </c>
      <c r="H2484" s="2" t="s">
        <v>14</v>
      </c>
      <c r="I2484" s="4">
        <v>43038.852777777778</v>
      </c>
      <c r="J2484" s="2" t="s">
        <v>10738</v>
      </c>
    </row>
    <row r="2485" spans="1:10" ht="135" x14ac:dyDescent="0.25">
      <c r="A2485" s="2" t="s">
        <v>74</v>
      </c>
      <c r="B2485" s="2">
        <v>146.30000000000001</v>
      </c>
      <c r="C2485" s="2" t="s">
        <v>102</v>
      </c>
      <c r="D2485" s="2" t="s">
        <v>100</v>
      </c>
      <c r="E2485" s="2" t="s">
        <v>101</v>
      </c>
      <c r="F2485" s="3">
        <v>43876</v>
      </c>
      <c r="G2485" s="2" t="str">
        <f>"9780810141391"</f>
        <v>9780810141391</v>
      </c>
      <c r="H2485" s="2" t="s">
        <v>14</v>
      </c>
      <c r="I2485" s="4">
        <v>44071.720138888886</v>
      </c>
      <c r="J2485" s="2" t="s">
        <v>103</v>
      </c>
    </row>
    <row r="2486" spans="1:10" ht="135" x14ac:dyDescent="0.25">
      <c r="A2486" s="2" t="s">
        <v>74</v>
      </c>
      <c r="B2486" s="2" t="s">
        <v>1660</v>
      </c>
      <c r="C2486" s="2" t="s">
        <v>1661</v>
      </c>
      <c r="D2486" s="2" t="s">
        <v>1659</v>
      </c>
      <c r="E2486" s="2" t="s">
        <v>585</v>
      </c>
      <c r="F2486" s="3">
        <v>41799</v>
      </c>
      <c r="G2486" s="2" t="str">
        <f>"9780226114835"</f>
        <v>9780226114835</v>
      </c>
      <c r="H2486" s="2" t="s">
        <v>14</v>
      </c>
      <c r="I2486" s="4">
        <v>43934.568749999999</v>
      </c>
      <c r="J2486" s="2" t="s">
        <v>1662</v>
      </c>
    </row>
    <row r="2487" spans="1:10" ht="165" x14ac:dyDescent="0.25">
      <c r="A2487" s="2" t="s">
        <v>74</v>
      </c>
      <c r="B2487" s="2">
        <v>133.10974999999999</v>
      </c>
      <c r="C2487" s="2" t="s">
        <v>1358</v>
      </c>
      <c r="D2487" s="2" t="s">
        <v>1357</v>
      </c>
      <c r="E2487" s="2" t="s">
        <v>156</v>
      </c>
      <c r="F2487" s="3">
        <v>42308</v>
      </c>
      <c r="G2487" s="2" t="str">
        <f>"9781469626352"</f>
        <v>9781469626352</v>
      </c>
      <c r="H2487" s="2" t="s">
        <v>14</v>
      </c>
      <c r="I2487" s="4">
        <v>43947.474999999999</v>
      </c>
      <c r="J2487" s="2" t="s">
        <v>1359</v>
      </c>
    </row>
    <row r="2488" spans="1:10" ht="135" x14ac:dyDescent="0.25">
      <c r="A2488" s="2" t="s">
        <v>74</v>
      </c>
      <c r="B2488" s="2">
        <v>193</v>
      </c>
      <c r="C2488" s="2" t="s">
        <v>2515</v>
      </c>
      <c r="D2488" s="2" t="s">
        <v>2514</v>
      </c>
      <c r="E2488" s="2" t="s">
        <v>216</v>
      </c>
      <c r="F2488" s="3">
        <v>43556</v>
      </c>
      <c r="G2488" s="2" t="str">
        <f>"9781438474076"</f>
        <v>9781438474076</v>
      </c>
      <c r="H2488" s="2" t="s">
        <v>14</v>
      </c>
      <c r="I2488" s="4">
        <v>43880.354861111111</v>
      </c>
      <c r="J2488" s="2" t="s">
        <v>2516</v>
      </c>
    </row>
    <row r="2489" spans="1:10" ht="135" x14ac:dyDescent="0.25">
      <c r="A2489" s="2" t="s">
        <v>74</v>
      </c>
      <c r="B2489" s="2">
        <v>179.9</v>
      </c>
      <c r="C2489" s="2" t="s">
        <v>7023</v>
      </c>
      <c r="D2489" s="2" t="s">
        <v>7022</v>
      </c>
      <c r="E2489" s="2" t="s">
        <v>216</v>
      </c>
      <c r="F2489" s="3">
        <v>43221</v>
      </c>
      <c r="G2489" s="2" t="str">
        <f>"9781438469348"</f>
        <v>9781438469348</v>
      </c>
      <c r="H2489" s="2" t="s">
        <v>14</v>
      </c>
      <c r="I2489" s="4">
        <v>43460.915277777778</v>
      </c>
      <c r="J2489" s="2" t="s">
        <v>7024</v>
      </c>
    </row>
    <row r="2490" spans="1:10" ht="135" x14ac:dyDescent="0.25">
      <c r="A2490" s="2" t="s">
        <v>74</v>
      </c>
      <c r="B2490" s="2">
        <v>190</v>
      </c>
      <c r="C2490" s="2" t="s">
        <v>11691</v>
      </c>
      <c r="D2490" s="2" t="s">
        <v>11690</v>
      </c>
      <c r="E2490" s="2" t="s">
        <v>11</v>
      </c>
      <c r="F2490" s="3">
        <v>42150</v>
      </c>
      <c r="G2490" s="2" t="str">
        <f>"9780813227481"</f>
        <v>9780813227481</v>
      </c>
      <c r="H2490" s="2" t="s">
        <v>14</v>
      </c>
      <c r="I2490" s="4">
        <v>42912.576388888891</v>
      </c>
      <c r="J2490" s="2" t="s">
        <v>11692</v>
      </c>
    </row>
    <row r="2491" spans="1:10" ht="150" x14ac:dyDescent="0.25">
      <c r="A2491" s="2" t="s">
        <v>74</v>
      </c>
      <c r="B2491" s="2" t="s">
        <v>5645</v>
      </c>
      <c r="C2491" s="2" t="s">
        <v>5646</v>
      </c>
      <c r="D2491" s="2" t="s">
        <v>5644</v>
      </c>
      <c r="E2491" s="2" t="s">
        <v>69</v>
      </c>
      <c r="F2491" s="3">
        <v>42040</v>
      </c>
      <c r="G2491" s="2" t="str">
        <f>"9780253015617"</f>
        <v>9780253015617</v>
      </c>
      <c r="H2491" s="2" t="s">
        <v>14</v>
      </c>
      <c r="I2491" s="4">
        <v>43583.878472222219</v>
      </c>
      <c r="J2491" s="2" t="s">
        <v>5647</v>
      </c>
    </row>
    <row r="2492" spans="1:10" ht="135" x14ac:dyDescent="0.25">
      <c r="A2492" s="2" t="s">
        <v>74</v>
      </c>
      <c r="B2492" s="2">
        <v>122</v>
      </c>
      <c r="C2492" s="2" t="s">
        <v>11886</v>
      </c>
      <c r="D2492" s="2" t="s">
        <v>11885</v>
      </c>
      <c r="E2492" s="2" t="s">
        <v>2747</v>
      </c>
      <c r="F2492" s="3">
        <v>41757</v>
      </c>
      <c r="G2492" s="2" t="str">
        <f>"9781453910962"</f>
        <v>9781453910962</v>
      </c>
      <c r="H2492" s="2" t="s">
        <v>14</v>
      </c>
      <c r="I2492" s="4">
        <v>42874.662499999999</v>
      </c>
      <c r="J2492" s="2" t="s">
        <v>11887</v>
      </c>
    </row>
    <row r="2493" spans="1:10" ht="135" x14ac:dyDescent="0.25">
      <c r="A2493" s="2" t="s">
        <v>74</v>
      </c>
      <c r="B2493" s="2">
        <v>160</v>
      </c>
      <c r="C2493" s="2" t="s">
        <v>10959</v>
      </c>
      <c r="D2493" s="2" t="s">
        <v>10958</v>
      </c>
      <c r="E2493" s="2" t="s">
        <v>2099</v>
      </c>
      <c r="F2493" s="3">
        <v>42611</v>
      </c>
      <c r="G2493" s="2" t="str">
        <f>"9781118981993"</f>
        <v>9781118981993</v>
      </c>
      <c r="H2493" s="2" t="s">
        <v>14</v>
      </c>
      <c r="I2493" s="4">
        <v>43026.505555555559</v>
      </c>
      <c r="J2493" s="2" t="s">
        <v>10960</v>
      </c>
    </row>
    <row r="2494" spans="1:10" ht="135" x14ac:dyDescent="0.25">
      <c r="A2494" s="2" t="s">
        <v>74</v>
      </c>
      <c r="B2494" s="2">
        <v>190</v>
      </c>
      <c r="C2494" s="2" t="s">
        <v>11765</v>
      </c>
      <c r="D2494" s="2" t="s">
        <v>11764</v>
      </c>
      <c r="E2494" s="2" t="s">
        <v>674</v>
      </c>
      <c r="F2494" s="3">
        <v>42646</v>
      </c>
      <c r="G2494" s="2" t="str">
        <f>"9780823273102"</f>
        <v>9780823273102</v>
      </c>
      <c r="H2494" s="2" t="s">
        <v>14</v>
      </c>
      <c r="I2494" s="4">
        <v>42896.481249999997</v>
      </c>
      <c r="J2494" s="2" t="s">
        <v>11766</v>
      </c>
    </row>
    <row r="2495" spans="1:10" ht="135" x14ac:dyDescent="0.25">
      <c r="A2495" s="2" t="s">
        <v>74</v>
      </c>
      <c r="B2495" s="2">
        <v>181.11199999999999</v>
      </c>
      <c r="C2495" s="2" t="s">
        <v>9387</v>
      </c>
      <c r="D2495" s="2" t="s">
        <v>9386</v>
      </c>
      <c r="E2495" s="2" t="s">
        <v>216</v>
      </c>
      <c r="F2495" s="3">
        <v>42522</v>
      </c>
      <c r="G2495" s="2" t="str">
        <f>"9781438461083"</f>
        <v>9781438461083</v>
      </c>
      <c r="H2495" s="2" t="s">
        <v>14</v>
      </c>
      <c r="I2495" s="4">
        <v>43175.381249999999</v>
      </c>
      <c r="J2495" s="2" t="s">
        <v>9388</v>
      </c>
    </row>
    <row r="2496" spans="1:10" ht="135" x14ac:dyDescent="0.25">
      <c r="A2496" s="2" t="s">
        <v>74</v>
      </c>
      <c r="B2496" s="2">
        <v>189.4</v>
      </c>
      <c r="C2496" s="2" t="s">
        <v>3349</v>
      </c>
      <c r="D2496" s="2" t="s">
        <v>3348</v>
      </c>
      <c r="E2496" s="2" t="s">
        <v>11</v>
      </c>
      <c r="F2496" s="3">
        <v>43705</v>
      </c>
      <c r="G2496" s="2" t="str">
        <f>"9780813231884"</f>
        <v>9780813231884</v>
      </c>
      <c r="H2496" s="2" t="s">
        <v>14</v>
      </c>
      <c r="I2496" s="4">
        <v>43788.714583333334</v>
      </c>
      <c r="J2496" s="2" t="s">
        <v>3350</v>
      </c>
    </row>
    <row r="2497" spans="1:10" ht="165" x14ac:dyDescent="0.25">
      <c r="A2497" s="2" t="s">
        <v>74</v>
      </c>
      <c r="B2497" s="2">
        <v>193</v>
      </c>
      <c r="C2497" s="2" t="s">
        <v>10876</v>
      </c>
      <c r="D2497" s="2" t="s">
        <v>10875</v>
      </c>
      <c r="E2497" s="2" t="s">
        <v>11</v>
      </c>
      <c r="F2497" s="3">
        <v>39022</v>
      </c>
      <c r="G2497" s="2" t="str">
        <f>"9780813216263"</f>
        <v>9780813216263</v>
      </c>
      <c r="H2497" s="2" t="s">
        <v>14</v>
      </c>
      <c r="I2497" s="4">
        <v>43030.890972222223</v>
      </c>
      <c r="J2497" s="2" t="s">
        <v>10877</v>
      </c>
    </row>
    <row r="2498" spans="1:10" ht="135" x14ac:dyDescent="0.25">
      <c r="A2498" s="2" t="s">
        <v>74</v>
      </c>
      <c r="D2498" s="2" t="s">
        <v>72</v>
      </c>
      <c r="E2498" s="2" t="s">
        <v>73</v>
      </c>
      <c r="F2498" s="3">
        <v>43977</v>
      </c>
      <c r="G2498" s="2" t="str">
        <f>"9781452962719"</f>
        <v>9781452962719</v>
      </c>
      <c r="H2498" s="2" t="s">
        <v>14</v>
      </c>
      <c r="I2498" s="4">
        <v>44074.652777777781</v>
      </c>
      <c r="J2498" s="2" t="s">
        <v>75</v>
      </c>
    </row>
    <row r="2499" spans="1:10" ht="135" x14ac:dyDescent="0.25">
      <c r="A2499" s="2" t="s">
        <v>74</v>
      </c>
      <c r="B2499" s="2" t="s">
        <v>9928</v>
      </c>
      <c r="C2499" s="2" t="s">
        <v>9929</v>
      </c>
      <c r="D2499" s="2" t="s">
        <v>9927</v>
      </c>
      <c r="E2499" s="2" t="s">
        <v>6704</v>
      </c>
      <c r="F2499" s="3">
        <v>41981</v>
      </c>
      <c r="G2499" s="2" t="str">
        <f>"9780801471971"</f>
        <v>9780801471971</v>
      </c>
      <c r="H2499" s="2" t="s">
        <v>14</v>
      </c>
      <c r="I2499" s="4">
        <v>43118.979861111111</v>
      </c>
      <c r="J2499" s="2" t="s">
        <v>9930</v>
      </c>
    </row>
    <row r="2500" spans="1:10" ht="165" x14ac:dyDescent="0.25">
      <c r="A2500" s="2" t="s">
        <v>74</v>
      </c>
      <c r="B2500" s="2">
        <v>115.092</v>
      </c>
      <c r="C2500" s="2" t="s">
        <v>9186</v>
      </c>
      <c r="D2500" s="2" t="s">
        <v>9184</v>
      </c>
      <c r="E2500" s="2" t="s">
        <v>9185</v>
      </c>
      <c r="F2500" s="3">
        <v>42597</v>
      </c>
      <c r="G2500" s="2" t="str">
        <f>"9781681142494"</f>
        <v>9781681142494</v>
      </c>
      <c r="H2500" s="2" t="s">
        <v>14</v>
      </c>
      <c r="I2500" s="4">
        <v>43202.561111111114</v>
      </c>
      <c r="J2500" s="2" t="s">
        <v>9187</v>
      </c>
    </row>
    <row r="2501" spans="1:10" ht="135" x14ac:dyDescent="0.25">
      <c r="A2501" s="2" t="s">
        <v>74</v>
      </c>
      <c r="B2501" s="2">
        <v>191</v>
      </c>
      <c r="C2501" s="2" t="s">
        <v>3102</v>
      </c>
      <c r="D2501" s="2" t="s">
        <v>3101</v>
      </c>
      <c r="E2501" s="2" t="s">
        <v>69</v>
      </c>
      <c r="F2501" s="3">
        <v>43141</v>
      </c>
      <c r="G2501" s="2" t="str">
        <f>"9780253032232"</f>
        <v>9780253032232</v>
      </c>
      <c r="H2501" s="2" t="s">
        <v>14</v>
      </c>
      <c r="I2501" s="4">
        <v>43812.673611111109</v>
      </c>
      <c r="J2501" s="2" t="s">
        <v>3103</v>
      </c>
    </row>
    <row r="2502" spans="1:10" ht="135" x14ac:dyDescent="0.25">
      <c r="A2502" s="2" t="s">
        <v>74</v>
      </c>
      <c r="B2502" s="2">
        <v>170</v>
      </c>
      <c r="C2502" s="2" t="s">
        <v>10870</v>
      </c>
      <c r="D2502" s="2" t="s">
        <v>10869</v>
      </c>
      <c r="E2502" s="2" t="s">
        <v>54</v>
      </c>
      <c r="F2502" s="3">
        <v>41850</v>
      </c>
      <c r="G2502" s="2" t="str">
        <f>"9780804792608"</f>
        <v>9780804792608</v>
      </c>
      <c r="H2502" s="2" t="s">
        <v>14</v>
      </c>
      <c r="I2502" s="4">
        <v>43030.9</v>
      </c>
      <c r="J2502" s="2" t="s">
        <v>10871</v>
      </c>
    </row>
    <row r="2503" spans="1:10" ht="135" x14ac:dyDescent="0.25">
      <c r="A2503" s="2" t="s">
        <v>74</v>
      </c>
      <c r="B2503" s="2">
        <v>141.30973</v>
      </c>
      <c r="C2503" s="2" t="s">
        <v>8562</v>
      </c>
      <c r="D2503" s="2" t="s">
        <v>8561</v>
      </c>
      <c r="E2503" s="2" t="s">
        <v>322</v>
      </c>
      <c r="F2503" s="3">
        <v>43023</v>
      </c>
      <c r="G2503" s="2" t="str">
        <f>"9780820351254"</f>
        <v>9780820351254</v>
      </c>
      <c r="H2503" s="2" t="s">
        <v>14</v>
      </c>
      <c r="I2503" s="4">
        <v>43287.935416666667</v>
      </c>
      <c r="J2503" s="2" t="s">
        <v>8563</v>
      </c>
    </row>
    <row r="2504" spans="1:10" ht="135" x14ac:dyDescent="0.25">
      <c r="A2504" s="2" t="s">
        <v>74</v>
      </c>
      <c r="B2504" s="2">
        <v>193</v>
      </c>
      <c r="C2504" s="2" t="s">
        <v>6394</v>
      </c>
      <c r="D2504" s="2" t="s">
        <v>6393</v>
      </c>
      <c r="E2504" s="2" t="s">
        <v>97</v>
      </c>
      <c r="F2504" s="3">
        <v>43032</v>
      </c>
      <c r="G2504" s="2" t="str">
        <f>"9780231535885"</f>
        <v>9780231535885</v>
      </c>
      <c r="H2504" s="2" t="s">
        <v>14</v>
      </c>
      <c r="I2504" s="4">
        <v>43520.607638888891</v>
      </c>
      <c r="J2504" s="2" t="s">
        <v>6395</v>
      </c>
    </row>
    <row r="2505" spans="1:10" ht="150" x14ac:dyDescent="0.25">
      <c r="A2505" s="2" t="s">
        <v>74</v>
      </c>
      <c r="B2505" s="2">
        <v>194</v>
      </c>
      <c r="C2505" s="2" t="s">
        <v>3131</v>
      </c>
      <c r="D2505" s="2" t="s">
        <v>3130</v>
      </c>
      <c r="E2505" s="2" t="s">
        <v>216</v>
      </c>
      <c r="F2505" s="3">
        <v>43132</v>
      </c>
      <c r="G2505" s="2" t="str">
        <f>"9781438469379"</f>
        <v>9781438469379</v>
      </c>
      <c r="H2505" s="2" t="s">
        <v>14</v>
      </c>
      <c r="I2505" s="4">
        <v>43808.75277777778</v>
      </c>
      <c r="J2505" s="2" t="s">
        <v>3132</v>
      </c>
    </row>
    <row r="2506" spans="1:10" ht="150" x14ac:dyDescent="0.25">
      <c r="A2506" s="2" t="s">
        <v>74</v>
      </c>
      <c r="B2506" s="2" t="s">
        <v>3520</v>
      </c>
      <c r="C2506" s="2" t="s">
        <v>3521</v>
      </c>
      <c r="D2506" s="2" t="s">
        <v>3519</v>
      </c>
      <c r="E2506" s="2" t="s">
        <v>216</v>
      </c>
      <c r="F2506" s="3">
        <v>43617</v>
      </c>
      <c r="G2506" s="2" t="str">
        <f>"9781438474014"</f>
        <v>9781438474014</v>
      </c>
      <c r="H2506" s="2" t="s">
        <v>14</v>
      </c>
      <c r="I2506" s="4">
        <v>43777.754861111112</v>
      </c>
      <c r="J2506" s="2" t="s">
        <v>3522</v>
      </c>
    </row>
    <row r="2507" spans="1:10" ht="135" x14ac:dyDescent="0.25">
      <c r="A2507" s="2" t="s">
        <v>74</v>
      </c>
      <c r="B2507" s="2" t="s">
        <v>3299</v>
      </c>
      <c r="C2507" s="2" t="s">
        <v>1493</v>
      </c>
      <c r="D2507" s="2" t="s">
        <v>3298</v>
      </c>
      <c r="E2507" s="2" t="s">
        <v>11</v>
      </c>
      <c r="F2507" s="3">
        <v>43374</v>
      </c>
      <c r="G2507" s="2" t="str">
        <f>"9780813231419"</f>
        <v>9780813231419</v>
      </c>
      <c r="H2507" s="2" t="s">
        <v>14</v>
      </c>
      <c r="I2507" s="4">
        <v>43791.661805555559</v>
      </c>
      <c r="J2507" s="2" t="s">
        <v>3300</v>
      </c>
    </row>
    <row r="2508" spans="1:10" ht="135" x14ac:dyDescent="0.25">
      <c r="A2508" s="2" t="s">
        <v>74</v>
      </c>
      <c r="B2508" s="2">
        <v>194</v>
      </c>
      <c r="C2508" s="2" t="s">
        <v>3556</v>
      </c>
      <c r="D2508" s="2" t="s">
        <v>3555</v>
      </c>
      <c r="E2508" s="2" t="s">
        <v>101</v>
      </c>
      <c r="F2508" s="3">
        <v>43723</v>
      </c>
      <c r="G2508" s="2" t="str">
        <f>"9780810140691"</f>
        <v>9780810140691</v>
      </c>
      <c r="H2508" s="2" t="s">
        <v>14</v>
      </c>
      <c r="I2508" s="4">
        <v>43775.68472222222</v>
      </c>
      <c r="J2508" s="2" t="s">
        <v>3557</v>
      </c>
    </row>
    <row r="2509" spans="1:10" ht="135" x14ac:dyDescent="0.25">
      <c r="A2509" s="2" t="s">
        <v>74</v>
      </c>
      <c r="B2509" s="2">
        <v>180</v>
      </c>
      <c r="C2509" s="2" t="s">
        <v>4700</v>
      </c>
      <c r="D2509" s="2" t="s">
        <v>4699</v>
      </c>
      <c r="E2509" s="2" t="s">
        <v>216</v>
      </c>
      <c r="F2509" s="3">
        <v>43160</v>
      </c>
      <c r="G2509" s="2" t="str">
        <f>"9781438468433"</f>
        <v>9781438468433</v>
      </c>
      <c r="H2509" s="2" t="s">
        <v>14</v>
      </c>
      <c r="I2509" s="4">
        <v>43636.478472222225</v>
      </c>
      <c r="J2509" s="2" t="s">
        <v>4701</v>
      </c>
    </row>
    <row r="2510" spans="1:10" ht="135" x14ac:dyDescent="0.25">
      <c r="A2510" s="2" t="s">
        <v>74</v>
      </c>
      <c r="B2510" s="2" t="s">
        <v>3812</v>
      </c>
      <c r="C2510" s="2" t="s">
        <v>1493</v>
      </c>
      <c r="D2510" s="2" t="s">
        <v>3811</v>
      </c>
      <c r="E2510" s="2" t="s">
        <v>11</v>
      </c>
      <c r="F2510" s="3">
        <v>38161</v>
      </c>
      <c r="G2510" s="2" t="str">
        <f>"9780813216140"</f>
        <v>9780813216140</v>
      </c>
      <c r="H2510" s="2" t="s">
        <v>14</v>
      </c>
      <c r="I2510" s="4">
        <v>43754.438194444447</v>
      </c>
      <c r="J2510" s="2" t="s">
        <v>3813</v>
      </c>
    </row>
    <row r="2511" spans="1:10" ht="135" x14ac:dyDescent="0.25">
      <c r="A2511" s="2" t="s">
        <v>74</v>
      </c>
      <c r="B2511" s="2">
        <v>192</v>
      </c>
      <c r="C2511" s="2" t="s">
        <v>11314</v>
      </c>
      <c r="D2511" s="2" t="s">
        <v>11313</v>
      </c>
      <c r="E2511" s="2" t="s">
        <v>216</v>
      </c>
      <c r="F2511" s="3">
        <v>42005</v>
      </c>
      <c r="G2511" s="2" t="str">
        <f>"9781438454184"</f>
        <v>9781438454184</v>
      </c>
      <c r="H2511" s="2" t="s">
        <v>14</v>
      </c>
      <c r="I2511" s="4">
        <v>42990.652777777781</v>
      </c>
      <c r="J2511" s="2" t="s">
        <v>11315</v>
      </c>
    </row>
    <row r="2512" spans="1:10" ht="150" x14ac:dyDescent="0.25">
      <c r="A2512" s="2" t="s">
        <v>74</v>
      </c>
      <c r="B2512" s="2">
        <v>146.4</v>
      </c>
      <c r="C2512" s="2" t="s">
        <v>8704</v>
      </c>
      <c r="D2512" s="2" t="s">
        <v>8703</v>
      </c>
      <c r="E2512" s="2" t="s">
        <v>627</v>
      </c>
      <c r="F2512" s="3">
        <v>42262</v>
      </c>
      <c r="G2512" s="2" t="str">
        <f>"9789633860823"</f>
        <v>9789633860823</v>
      </c>
      <c r="H2512" s="2" t="s">
        <v>14</v>
      </c>
      <c r="I2512" s="4">
        <v>43263.661805555559</v>
      </c>
      <c r="J2512" s="2" t="s">
        <v>8705</v>
      </c>
    </row>
    <row r="2513" spans="1:10" ht="150" x14ac:dyDescent="0.25">
      <c r="A2513" s="2" t="s">
        <v>74</v>
      </c>
      <c r="B2513" s="2">
        <v>111.85</v>
      </c>
      <c r="C2513" s="2" t="s">
        <v>5409</v>
      </c>
      <c r="D2513" s="2" t="s">
        <v>6224</v>
      </c>
      <c r="E2513" s="2" t="s">
        <v>101</v>
      </c>
      <c r="F2513" s="3">
        <v>43296</v>
      </c>
      <c r="G2513" s="2" t="str">
        <f>"9780810137486"</f>
        <v>9780810137486</v>
      </c>
      <c r="H2513" s="2" t="s">
        <v>14</v>
      </c>
      <c r="I2513" s="4">
        <v>43531.868750000001</v>
      </c>
      <c r="J2513" s="2" t="s">
        <v>6225</v>
      </c>
    </row>
    <row r="2514" spans="1:10" ht="150" x14ac:dyDescent="0.25">
      <c r="A2514" s="2" t="s">
        <v>74</v>
      </c>
      <c r="B2514" s="2" t="s">
        <v>11234</v>
      </c>
      <c r="C2514" s="2" t="s">
        <v>1396</v>
      </c>
      <c r="D2514" s="2" t="s">
        <v>11233</v>
      </c>
      <c r="E2514" s="2" t="s">
        <v>856</v>
      </c>
      <c r="F2514" s="3">
        <v>42125</v>
      </c>
      <c r="G2514" s="2" t="str">
        <f>"9780295805788"</f>
        <v>9780295805788</v>
      </c>
      <c r="H2514" s="2" t="s">
        <v>14</v>
      </c>
      <c r="I2514" s="4">
        <v>43003.487500000003</v>
      </c>
      <c r="J2514" s="2" t="s">
        <v>11235</v>
      </c>
    </row>
    <row r="2515" spans="1:10" ht="135" x14ac:dyDescent="0.25">
      <c r="A2515" s="2" t="s">
        <v>74</v>
      </c>
      <c r="B2515" s="2">
        <v>113</v>
      </c>
      <c r="C2515" s="2" t="s">
        <v>7827</v>
      </c>
      <c r="D2515" s="2" t="s">
        <v>7826</v>
      </c>
      <c r="E2515" s="2" t="s">
        <v>69</v>
      </c>
      <c r="F2515" s="3">
        <v>42643</v>
      </c>
      <c r="G2515" s="2" t="str">
        <f>"9780253023377"</f>
        <v>9780253023377</v>
      </c>
      <c r="H2515" s="2" t="s">
        <v>14</v>
      </c>
      <c r="I2515" s="4">
        <v>43386.650694444441</v>
      </c>
      <c r="J2515" s="2" t="s">
        <v>7828</v>
      </c>
    </row>
    <row r="2516" spans="1:10" ht="135" x14ac:dyDescent="0.25">
      <c r="A2516" s="2" t="s">
        <v>74</v>
      </c>
      <c r="B2516" s="2" t="s">
        <v>3306</v>
      </c>
      <c r="C2516" s="2" t="s">
        <v>1493</v>
      </c>
      <c r="D2516" s="2" t="s">
        <v>3305</v>
      </c>
      <c r="E2516" s="2" t="s">
        <v>11</v>
      </c>
      <c r="F2516" s="3">
        <v>41739</v>
      </c>
      <c r="G2516" s="2" t="str">
        <f>"9780813226064"</f>
        <v>9780813226064</v>
      </c>
      <c r="H2516" s="2" t="s">
        <v>14</v>
      </c>
      <c r="I2516" s="4">
        <v>43791.606249999997</v>
      </c>
      <c r="J2516" s="2" t="s">
        <v>3307</v>
      </c>
    </row>
    <row r="2517" spans="1:10" ht="135" x14ac:dyDescent="0.25">
      <c r="A2517" s="2" t="s">
        <v>74</v>
      </c>
      <c r="B2517" s="2" t="s">
        <v>3812</v>
      </c>
      <c r="C2517" s="2" t="s">
        <v>5336</v>
      </c>
      <c r="D2517" s="2" t="s">
        <v>5335</v>
      </c>
      <c r="E2517" s="2" t="s">
        <v>674</v>
      </c>
      <c r="F2517" s="3">
        <v>43592</v>
      </c>
      <c r="G2517" s="2" t="str">
        <f>"9780823284597"</f>
        <v>9780823284597</v>
      </c>
      <c r="H2517" s="2" t="s">
        <v>14</v>
      </c>
      <c r="I2517" s="4">
        <v>43604.716666666667</v>
      </c>
      <c r="J2517" s="2" t="s">
        <v>5337</v>
      </c>
    </row>
    <row r="2518" spans="1:10" ht="135" x14ac:dyDescent="0.25">
      <c r="A2518" s="2" t="s">
        <v>74</v>
      </c>
      <c r="B2518" s="2">
        <v>184</v>
      </c>
      <c r="C2518" s="2" t="s">
        <v>9455</v>
      </c>
      <c r="D2518" s="2" t="s">
        <v>9454</v>
      </c>
      <c r="E2518" s="2" t="s">
        <v>216</v>
      </c>
      <c r="F2518" s="3">
        <v>42156</v>
      </c>
      <c r="G2518" s="2" t="str">
        <f>"9781438456195"</f>
        <v>9781438456195</v>
      </c>
      <c r="H2518" s="2" t="s">
        <v>14</v>
      </c>
      <c r="I2518" s="4">
        <v>43166.392361111109</v>
      </c>
      <c r="J2518" s="2" t="s">
        <v>9456</v>
      </c>
    </row>
    <row r="2519" spans="1:10" ht="135" x14ac:dyDescent="0.25">
      <c r="A2519" s="2" t="s">
        <v>74</v>
      </c>
      <c r="B2519" s="2" t="s">
        <v>4050</v>
      </c>
      <c r="C2519" s="2" t="s">
        <v>10549</v>
      </c>
      <c r="D2519" s="2" t="s">
        <v>10548</v>
      </c>
      <c r="E2519" s="2" t="s">
        <v>284</v>
      </c>
      <c r="F2519" s="3">
        <v>37987</v>
      </c>
      <c r="G2519" s="2" t="str">
        <f>"9780824865054"</f>
        <v>9780824865054</v>
      </c>
      <c r="H2519" s="2" t="s">
        <v>14</v>
      </c>
      <c r="I2519" s="4">
        <v>43049.775000000001</v>
      </c>
      <c r="J2519" s="2" t="s">
        <v>10550</v>
      </c>
    </row>
    <row r="2520" spans="1:10" ht="135" x14ac:dyDescent="0.25">
      <c r="A2520" s="2" t="s">
        <v>74</v>
      </c>
      <c r="B2520" s="2">
        <v>121</v>
      </c>
      <c r="C2520" s="2" t="s">
        <v>10546</v>
      </c>
      <c r="D2520" s="2" t="s">
        <v>10545</v>
      </c>
      <c r="E2520" s="2" t="s">
        <v>2747</v>
      </c>
      <c r="F2520" s="3">
        <v>42459</v>
      </c>
      <c r="G2520" s="2" t="str">
        <f>"9781453916766"</f>
        <v>9781453916766</v>
      </c>
      <c r="H2520" s="2" t="s">
        <v>14</v>
      </c>
      <c r="I2520" s="4">
        <v>43049.801388888889</v>
      </c>
      <c r="J2520" s="2" t="s">
        <v>10547</v>
      </c>
    </row>
    <row r="2521" spans="1:10" ht="135" x14ac:dyDescent="0.25">
      <c r="A2521" s="2" t="s">
        <v>74</v>
      </c>
      <c r="B2521" s="2">
        <v>194</v>
      </c>
      <c r="C2521" s="2" t="s">
        <v>6062</v>
      </c>
      <c r="D2521" s="2" t="s">
        <v>6061</v>
      </c>
      <c r="E2521" s="2" t="s">
        <v>73</v>
      </c>
      <c r="F2521" s="3">
        <v>43522</v>
      </c>
      <c r="G2521" s="2" t="str">
        <f>"9781452959191"</f>
        <v>9781452959191</v>
      </c>
      <c r="H2521" s="2" t="s">
        <v>14</v>
      </c>
      <c r="I2521" s="4">
        <v>43543.463888888888</v>
      </c>
      <c r="J2521" s="2" t="s">
        <v>6063</v>
      </c>
    </row>
    <row r="2522" spans="1:10" ht="135" x14ac:dyDescent="0.25">
      <c r="A2522" s="2" t="s">
        <v>74</v>
      </c>
      <c r="B2522" s="2" t="s">
        <v>11697</v>
      </c>
      <c r="C2522" s="2" t="s">
        <v>11698</v>
      </c>
      <c r="D2522" s="2" t="s">
        <v>11696</v>
      </c>
      <c r="E2522" s="2" t="s">
        <v>11</v>
      </c>
      <c r="F2522" s="3">
        <v>39142</v>
      </c>
      <c r="G2522" s="2" t="str">
        <f>"9780813216539"</f>
        <v>9780813216539</v>
      </c>
      <c r="H2522" s="2" t="s">
        <v>14</v>
      </c>
      <c r="I2522" s="4">
        <v>42912.570138888892</v>
      </c>
      <c r="J2522" s="2" t="s">
        <v>11699</v>
      </c>
    </row>
    <row r="2523" spans="1:10" ht="135" x14ac:dyDescent="0.25">
      <c r="A2523" s="2" t="s">
        <v>74</v>
      </c>
      <c r="B2523" s="2" t="s">
        <v>2426</v>
      </c>
      <c r="C2523" s="2" t="s">
        <v>2427</v>
      </c>
      <c r="D2523" s="2" t="s">
        <v>2425</v>
      </c>
      <c r="E2523" s="2" t="s">
        <v>216</v>
      </c>
      <c r="F2523" s="3">
        <v>43132</v>
      </c>
      <c r="G2523" s="2" t="str">
        <f>"9781438468372"</f>
        <v>9781438468372</v>
      </c>
      <c r="H2523" s="2" t="s">
        <v>14</v>
      </c>
      <c r="I2523" s="4">
        <v>43885.986111111109</v>
      </c>
      <c r="J2523" s="2" t="s">
        <v>2428</v>
      </c>
    </row>
    <row r="2524" spans="1:10" ht="135" x14ac:dyDescent="0.25">
      <c r="A2524" s="2" t="s">
        <v>74</v>
      </c>
      <c r="B2524" s="2">
        <v>111.85092</v>
      </c>
      <c r="C2524" s="2" t="s">
        <v>9555</v>
      </c>
      <c r="D2524" s="2" t="s">
        <v>9554</v>
      </c>
      <c r="E2524" s="2" t="s">
        <v>216</v>
      </c>
      <c r="F2524" s="3">
        <v>42625</v>
      </c>
      <c r="G2524" s="2" t="str">
        <f>"9781438461908"</f>
        <v>9781438461908</v>
      </c>
      <c r="H2524" s="2" t="s">
        <v>14</v>
      </c>
      <c r="I2524" s="4">
        <v>43154.745833333334</v>
      </c>
      <c r="J2524" s="2" t="s">
        <v>9556</v>
      </c>
    </row>
    <row r="2525" spans="1:10" ht="135" x14ac:dyDescent="0.25">
      <c r="A2525" s="2" t="s">
        <v>74</v>
      </c>
      <c r="B2525" s="2" t="s">
        <v>1660</v>
      </c>
      <c r="C2525" s="2" t="s">
        <v>1661</v>
      </c>
      <c r="D2525" s="2" t="s">
        <v>11247</v>
      </c>
      <c r="E2525" s="2" t="s">
        <v>11</v>
      </c>
      <c r="F2525" s="3">
        <v>42846</v>
      </c>
      <c r="G2525" s="2" t="str">
        <f>"9780813229294"</f>
        <v>9780813229294</v>
      </c>
      <c r="H2525" s="2" t="s">
        <v>14</v>
      </c>
      <c r="I2525" s="4">
        <v>42998.609027777777</v>
      </c>
      <c r="J2525" s="2" t="s">
        <v>11248</v>
      </c>
    </row>
    <row r="2526" spans="1:10" ht="135" x14ac:dyDescent="0.25">
      <c r="A2526" s="2" t="s">
        <v>74</v>
      </c>
      <c r="B2526" s="2">
        <v>110</v>
      </c>
      <c r="C2526" s="2" t="s">
        <v>989</v>
      </c>
      <c r="D2526" s="2" t="s">
        <v>988</v>
      </c>
      <c r="E2526" s="2" t="s">
        <v>11</v>
      </c>
      <c r="F2526" s="3">
        <v>43822</v>
      </c>
      <c r="G2526" s="2" t="str">
        <f>"9780813232492"</f>
        <v>9780813232492</v>
      </c>
      <c r="H2526" s="2" t="s">
        <v>14</v>
      </c>
      <c r="I2526" s="4">
        <v>43970.169444444444</v>
      </c>
      <c r="J2526" s="2" t="s">
        <v>990</v>
      </c>
    </row>
    <row r="2527" spans="1:10" ht="135" x14ac:dyDescent="0.25">
      <c r="A2527" s="2" t="s">
        <v>74</v>
      </c>
      <c r="B2527" s="2">
        <v>128.6</v>
      </c>
      <c r="C2527" s="2" t="s">
        <v>11592</v>
      </c>
      <c r="D2527" s="2" t="s">
        <v>11591</v>
      </c>
      <c r="E2527" s="2" t="s">
        <v>674</v>
      </c>
      <c r="F2527" s="3">
        <v>42614</v>
      </c>
      <c r="G2527" s="2" t="str">
        <f>"9780823270453"</f>
        <v>9780823270453</v>
      </c>
      <c r="H2527" s="2" t="s">
        <v>14</v>
      </c>
      <c r="I2527" s="4">
        <v>42922.453472222223</v>
      </c>
      <c r="J2527" s="2" t="s">
        <v>11593</v>
      </c>
    </row>
    <row r="2528" spans="1:10" ht="255" x14ac:dyDescent="0.25">
      <c r="A2528" s="2" t="s">
        <v>74</v>
      </c>
      <c r="B2528" s="2">
        <v>142.69999999999999</v>
      </c>
      <c r="C2528" s="2" t="s">
        <v>10982</v>
      </c>
      <c r="D2528" s="2" t="s">
        <v>10981</v>
      </c>
      <c r="E2528" s="2" t="s">
        <v>80</v>
      </c>
      <c r="F2528" s="3">
        <v>41724</v>
      </c>
      <c r="G2528" s="2" t="str">
        <f>"9783653044805"</f>
        <v>9783653044805</v>
      </c>
      <c r="H2528" s="2" t="s">
        <v>14</v>
      </c>
      <c r="I2528" s="4">
        <v>43024.853472222225</v>
      </c>
      <c r="J2528" s="2" t="s">
        <v>10983</v>
      </c>
    </row>
    <row r="2529" spans="1:10" ht="165" x14ac:dyDescent="0.25">
      <c r="A2529" s="2" t="s">
        <v>74</v>
      </c>
      <c r="B2529" s="2">
        <v>142.69999999999999</v>
      </c>
      <c r="C2529" s="2" t="s">
        <v>10886</v>
      </c>
      <c r="D2529" s="2" t="s">
        <v>10885</v>
      </c>
      <c r="E2529" s="2" t="s">
        <v>80</v>
      </c>
      <c r="F2529" s="3">
        <v>42010</v>
      </c>
      <c r="G2529" s="2" t="str">
        <f>"9783653052213"</f>
        <v>9783653052213</v>
      </c>
      <c r="H2529" s="2" t="s">
        <v>14</v>
      </c>
      <c r="I2529" s="4">
        <v>43030.884027777778</v>
      </c>
      <c r="J2529" s="2" t="s">
        <v>10887</v>
      </c>
    </row>
    <row r="2530" spans="1:10" ht="225" x14ac:dyDescent="0.25">
      <c r="A2530" s="2" t="s">
        <v>74</v>
      </c>
      <c r="B2530" s="2">
        <v>142.70500000000001</v>
      </c>
      <c r="C2530" s="2" t="s">
        <v>10985</v>
      </c>
      <c r="D2530" s="2" t="s">
        <v>10984</v>
      </c>
      <c r="E2530" s="2" t="s">
        <v>80</v>
      </c>
      <c r="F2530" s="3">
        <v>42342</v>
      </c>
      <c r="G2530" s="2" t="str">
        <f>"9783653063981"</f>
        <v>9783653063981</v>
      </c>
      <c r="H2530" s="2" t="s">
        <v>14</v>
      </c>
      <c r="I2530" s="4">
        <v>43024.849305555559</v>
      </c>
      <c r="J2530" s="2" t="s">
        <v>10986</v>
      </c>
    </row>
    <row r="2531" spans="1:10" ht="135" x14ac:dyDescent="0.25">
      <c r="A2531" s="2" t="s">
        <v>74</v>
      </c>
      <c r="B2531" s="2">
        <v>199.6</v>
      </c>
      <c r="C2531" s="2" t="s">
        <v>1263</v>
      </c>
      <c r="D2531" s="2" t="s">
        <v>6124</v>
      </c>
      <c r="E2531" s="2" t="s">
        <v>37</v>
      </c>
      <c r="F2531" s="3">
        <v>42776</v>
      </c>
      <c r="G2531" s="2" t="str">
        <f>"9783319407968"</f>
        <v>9783319407968</v>
      </c>
      <c r="H2531" s="2" t="s">
        <v>14</v>
      </c>
      <c r="I2531" s="4">
        <v>43537.826388888891</v>
      </c>
      <c r="J2531" s="2" t="s">
        <v>6125</v>
      </c>
    </row>
    <row r="2532" spans="1:10" ht="135" x14ac:dyDescent="0.25">
      <c r="A2532" s="2" t="s">
        <v>74</v>
      </c>
      <c r="B2532" s="2">
        <v>193</v>
      </c>
      <c r="C2532" s="2" t="s">
        <v>5243</v>
      </c>
      <c r="D2532" s="2" t="s">
        <v>5242</v>
      </c>
      <c r="E2532" s="2" t="s">
        <v>54</v>
      </c>
      <c r="F2532" s="3">
        <v>43340</v>
      </c>
      <c r="G2532" s="2" t="str">
        <f>"9781503606074"</f>
        <v>9781503606074</v>
      </c>
      <c r="H2532" s="2" t="s">
        <v>14</v>
      </c>
      <c r="I2532" s="4">
        <v>43606.670138888891</v>
      </c>
      <c r="J2532" s="2" t="s">
        <v>5244</v>
      </c>
    </row>
    <row r="2533" spans="1:10" ht="135" x14ac:dyDescent="0.25">
      <c r="A2533" s="2" t="s">
        <v>74</v>
      </c>
      <c r="B2533" s="2">
        <v>113.8</v>
      </c>
      <c r="D2533" s="2" t="s">
        <v>116</v>
      </c>
      <c r="E2533" s="2" t="s">
        <v>73</v>
      </c>
      <c r="F2533" s="3">
        <v>44005</v>
      </c>
      <c r="G2533" s="2" t="str">
        <f>"9781452960852"</f>
        <v>9781452960852</v>
      </c>
      <c r="H2533" s="2" t="s">
        <v>14</v>
      </c>
      <c r="I2533" s="4">
        <v>44070.421527777777</v>
      </c>
      <c r="J2533" s="2" t="s">
        <v>117</v>
      </c>
    </row>
    <row r="2534" spans="1:10" ht="135" x14ac:dyDescent="0.25">
      <c r="A2534" s="2" t="s">
        <v>74</v>
      </c>
      <c r="B2534" s="2" t="s">
        <v>10703</v>
      </c>
      <c r="C2534" s="2" t="s">
        <v>10704</v>
      </c>
      <c r="D2534" s="2" t="s">
        <v>10702</v>
      </c>
      <c r="E2534" s="2" t="s">
        <v>54</v>
      </c>
      <c r="F2534" s="3">
        <v>42179</v>
      </c>
      <c r="G2534" s="2" t="str">
        <f>"9780804796538"</f>
        <v>9780804796538</v>
      </c>
      <c r="H2534" s="2" t="s">
        <v>14</v>
      </c>
      <c r="I2534" s="4">
        <v>43040.782638888886</v>
      </c>
      <c r="J2534" s="2" t="s">
        <v>10705</v>
      </c>
    </row>
    <row r="2535" spans="1:10" ht="135" x14ac:dyDescent="0.25">
      <c r="A2535" s="2" t="s">
        <v>74</v>
      </c>
      <c r="B2535" s="2">
        <v>189.4</v>
      </c>
      <c r="C2535" s="2" t="s">
        <v>1493</v>
      </c>
      <c r="D2535" s="2" t="s">
        <v>6696</v>
      </c>
      <c r="E2535" s="2" t="s">
        <v>11</v>
      </c>
      <c r="F2535" s="3">
        <v>43191</v>
      </c>
      <c r="G2535" s="2" t="str">
        <f>"9780813230283"</f>
        <v>9780813230283</v>
      </c>
      <c r="H2535" s="2" t="s">
        <v>14</v>
      </c>
      <c r="I2535" s="4">
        <v>43495.957638888889</v>
      </c>
      <c r="J2535" s="2" t="s">
        <v>6697</v>
      </c>
    </row>
    <row r="2536" spans="1:10" ht="135" x14ac:dyDescent="0.25">
      <c r="A2536" s="2" t="s">
        <v>74</v>
      </c>
      <c r="B2536" s="2">
        <v>189.4</v>
      </c>
      <c r="C2536" s="2" t="s">
        <v>10366</v>
      </c>
      <c r="D2536" s="2" t="s">
        <v>10365</v>
      </c>
      <c r="E2536" s="2" t="s">
        <v>328</v>
      </c>
      <c r="F2536" s="3">
        <v>41627</v>
      </c>
      <c r="G2536" s="2" t="str">
        <f>"9780739171295"</f>
        <v>9780739171295</v>
      </c>
      <c r="H2536" s="2" t="s">
        <v>14</v>
      </c>
      <c r="I2536" s="4">
        <v>43064.350694444445</v>
      </c>
      <c r="J2536" s="2" t="s">
        <v>10367</v>
      </c>
    </row>
    <row r="2537" spans="1:10" ht="135" x14ac:dyDescent="0.25">
      <c r="A2537" s="2" t="s">
        <v>74</v>
      </c>
      <c r="C2537" s="2" t="s">
        <v>1493</v>
      </c>
      <c r="D2537" s="2" t="s">
        <v>1663</v>
      </c>
      <c r="E2537" s="2" t="s">
        <v>11</v>
      </c>
      <c r="F2537" s="3">
        <v>43805</v>
      </c>
      <c r="G2537" s="2" t="str">
        <f>"9780813232577"</f>
        <v>9780813232577</v>
      </c>
      <c r="H2537" s="2" t="s">
        <v>14</v>
      </c>
      <c r="I2537" s="4">
        <v>43934.415277777778</v>
      </c>
      <c r="J2537" s="2" t="s">
        <v>1664</v>
      </c>
    </row>
    <row r="2538" spans="1:10" ht="150" x14ac:dyDescent="0.25">
      <c r="A2538" s="2" t="s">
        <v>74</v>
      </c>
      <c r="B2538" s="2">
        <v>193</v>
      </c>
      <c r="C2538" s="2" t="s">
        <v>590</v>
      </c>
      <c r="D2538" s="2" t="s">
        <v>588</v>
      </c>
      <c r="E2538" s="2" t="s">
        <v>589</v>
      </c>
      <c r="F2538" s="3">
        <v>38338</v>
      </c>
      <c r="G2538" s="2" t="str">
        <f>"9780486120621"</f>
        <v>9780486120621</v>
      </c>
      <c r="H2538" s="2" t="s">
        <v>14</v>
      </c>
      <c r="I2538" s="4">
        <v>44008.611805555556</v>
      </c>
      <c r="J2538" s="2" t="s">
        <v>591</v>
      </c>
    </row>
    <row r="2539" spans="1:10" ht="135" x14ac:dyDescent="0.25">
      <c r="A2539" s="2" t="s">
        <v>74</v>
      </c>
      <c r="B2539" s="2">
        <v>115</v>
      </c>
      <c r="C2539" s="2" t="s">
        <v>10973</v>
      </c>
      <c r="D2539" s="2" t="s">
        <v>10972</v>
      </c>
      <c r="E2539" s="2" t="s">
        <v>69</v>
      </c>
      <c r="F2539" s="3">
        <v>40697</v>
      </c>
      <c r="G2539" s="2" t="str">
        <f>"9780253001603"</f>
        <v>9780253001603</v>
      </c>
      <c r="H2539" s="2" t="s">
        <v>14</v>
      </c>
      <c r="I2539" s="4">
        <v>43024.873611111114</v>
      </c>
      <c r="J2539" s="2" t="s">
        <v>10974</v>
      </c>
    </row>
    <row r="2540" spans="1:10" ht="135" x14ac:dyDescent="0.25">
      <c r="A2540" s="2" t="s">
        <v>74</v>
      </c>
      <c r="B2540" s="2">
        <v>194</v>
      </c>
      <c r="C2540" s="2" t="s">
        <v>11048</v>
      </c>
      <c r="D2540" s="2" t="s">
        <v>11047</v>
      </c>
      <c r="E2540" s="2" t="s">
        <v>256</v>
      </c>
      <c r="F2540" s="3">
        <v>42109</v>
      </c>
      <c r="G2540" s="2" t="str">
        <f>"9780821444962"</f>
        <v>9780821444962</v>
      </c>
      <c r="H2540" s="2" t="s">
        <v>14</v>
      </c>
      <c r="I2540" s="4">
        <v>43020.802777777775</v>
      </c>
      <c r="J2540" s="2" t="s">
        <v>11049</v>
      </c>
    </row>
    <row r="2541" spans="1:10" ht="135" x14ac:dyDescent="0.25">
      <c r="A2541" s="2" t="s">
        <v>74</v>
      </c>
      <c r="B2541" s="2">
        <v>194</v>
      </c>
      <c r="C2541" s="2" t="s">
        <v>11263</v>
      </c>
      <c r="D2541" s="2" t="s">
        <v>11262</v>
      </c>
      <c r="E2541" s="2" t="s">
        <v>674</v>
      </c>
      <c r="F2541" s="3">
        <v>42675</v>
      </c>
      <c r="G2541" s="2" t="str">
        <f>""</f>
        <v/>
      </c>
      <c r="H2541" s="2" t="s">
        <v>14</v>
      </c>
      <c r="I2541" s="4">
        <v>42998.319444444445</v>
      </c>
      <c r="J2541" s="2" t="s">
        <v>11264</v>
      </c>
    </row>
    <row r="2542" spans="1:10" ht="135" x14ac:dyDescent="0.25">
      <c r="A2542" s="2" t="s">
        <v>74</v>
      </c>
      <c r="B2542" s="2">
        <v>194</v>
      </c>
      <c r="C2542" s="2" t="s">
        <v>10681</v>
      </c>
      <c r="D2542" s="2" t="s">
        <v>10680</v>
      </c>
      <c r="E2542" s="2" t="s">
        <v>54</v>
      </c>
      <c r="F2542" s="3">
        <v>42983</v>
      </c>
      <c r="G2542" s="2" t="str">
        <f>"9781503603417"</f>
        <v>9781503603417</v>
      </c>
      <c r="H2542" s="2" t="s">
        <v>14</v>
      </c>
      <c r="I2542" s="4">
        <v>43042.845833333333</v>
      </c>
      <c r="J2542" s="2" t="s">
        <v>10682</v>
      </c>
    </row>
    <row r="2543" spans="1:10" ht="135" x14ac:dyDescent="0.25">
      <c r="A2543" s="2" t="s">
        <v>74</v>
      </c>
      <c r="B2543" s="2">
        <v>199.49199999999999</v>
      </c>
      <c r="C2543" s="2" t="s">
        <v>9693</v>
      </c>
      <c r="D2543" s="2" t="s">
        <v>9692</v>
      </c>
      <c r="E2543" s="2" t="s">
        <v>11</v>
      </c>
      <c r="F2543" s="3">
        <v>42363</v>
      </c>
      <c r="G2543" s="2" t="str">
        <f>"9780813228105"</f>
        <v>9780813228105</v>
      </c>
      <c r="H2543" s="2" t="s">
        <v>14</v>
      </c>
      <c r="I2543" s="4">
        <v>43136.46597222222</v>
      </c>
      <c r="J2543" s="2" t="s">
        <v>9694</v>
      </c>
    </row>
    <row r="2544" spans="1:10" ht="135" x14ac:dyDescent="0.25">
      <c r="A2544" s="2" t="s">
        <v>74</v>
      </c>
      <c r="B2544" s="2">
        <v>121</v>
      </c>
      <c r="C2544" s="2" t="s">
        <v>9607</v>
      </c>
      <c r="D2544" s="2" t="s">
        <v>9606</v>
      </c>
      <c r="E2544" s="2" t="s">
        <v>460</v>
      </c>
      <c r="F2544" s="3">
        <v>41646</v>
      </c>
      <c r="G2544" s="2" t="str">
        <f>"9780773589971"</f>
        <v>9780773589971</v>
      </c>
      <c r="H2544" s="2" t="s">
        <v>14</v>
      </c>
      <c r="I2544" s="4">
        <v>43146.499305555553</v>
      </c>
      <c r="J2544" s="2" t="s">
        <v>9608</v>
      </c>
    </row>
    <row r="2545" spans="1:10" ht="135" x14ac:dyDescent="0.25">
      <c r="A2545" s="2" t="s">
        <v>74</v>
      </c>
      <c r="B2545" s="2">
        <v>128.6</v>
      </c>
      <c r="C2545" s="2" t="s">
        <v>12788</v>
      </c>
      <c r="D2545" s="2" t="s">
        <v>12787</v>
      </c>
      <c r="E2545" s="2" t="s">
        <v>73</v>
      </c>
      <c r="F2545" s="3">
        <v>41073</v>
      </c>
      <c r="G2545" s="2" t="str">
        <f>"9781937561604"</f>
        <v>9781937561604</v>
      </c>
      <c r="H2545" s="2" t="s">
        <v>14</v>
      </c>
      <c r="I2545" s="4">
        <v>42774.670138888891</v>
      </c>
      <c r="J2545" s="2" t="s">
        <v>12789</v>
      </c>
    </row>
    <row r="2546" spans="1:10" ht="135" x14ac:dyDescent="0.25">
      <c r="A2546" s="2" t="s">
        <v>74</v>
      </c>
      <c r="B2546" s="2">
        <v>195</v>
      </c>
      <c r="C2546" s="2" t="s">
        <v>10956</v>
      </c>
      <c r="D2546" s="2" t="s">
        <v>10955</v>
      </c>
      <c r="E2546" s="2" t="s">
        <v>390</v>
      </c>
      <c r="F2546" s="3">
        <v>42689</v>
      </c>
      <c r="G2546" s="2" t="str">
        <f>"9780268100308"</f>
        <v>9780268100308</v>
      </c>
      <c r="H2546" s="2" t="s">
        <v>14</v>
      </c>
      <c r="I2546" s="4">
        <v>43026.679166666669</v>
      </c>
      <c r="J2546" s="2" t="s">
        <v>10957</v>
      </c>
    </row>
    <row r="2547" spans="1:10" ht="135" x14ac:dyDescent="0.25">
      <c r="A2547" s="2" t="s">
        <v>74</v>
      </c>
      <c r="B2547" s="2">
        <v>181.12</v>
      </c>
      <c r="C2547" s="2" t="s">
        <v>2972</v>
      </c>
      <c r="D2547" s="2" t="s">
        <v>2971</v>
      </c>
      <c r="E2547" s="2" t="s">
        <v>101</v>
      </c>
      <c r="F2547" s="3">
        <v>43692</v>
      </c>
      <c r="G2547" s="2" t="str">
        <f>"9780810140486"</f>
        <v>9780810140486</v>
      </c>
      <c r="H2547" s="2" t="s">
        <v>14</v>
      </c>
      <c r="I2547" s="4">
        <v>43837.491666666669</v>
      </c>
      <c r="J2547" s="2" t="s">
        <v>2973</v>
      </c>
    </row>
    <row r="2548" spans="1:10" ht="135" x14ac:dyDescent="0.25">
      <c r="A2548" s="2" t="s">
        <v>74</v>
      </c>
      <c r="B2548" s="2">
        <v>170.92</v>
      </c>
      <c r="C2548" s="2" t="s">
        <v>10199</v>
      </c>
      <c r="D2548" s="2" t="s">
        <v>10198</v>
      </c>
      <c r="E2548" s="2" t="s">
        <v>390</v>
      </c>
      <c r="F2548" s="3">
        <v>42901</v>
      </c>
      <c r="G2548" s="2" t="str">
        <f>"9780268101886"</f>
        <v>9780268101886</v>
      </c>
      <c r="H2548" s="2" t="s">
        <v>14</v>
      </c>
      <c r="I2548" s="4">
        <v>43083.573611111111</v>
      </c>
      <c r="J2548" s="2" t="s">
        <v>10200</v>
      </c>
    </row>
    <row r="2549" spans="1:10" ht="135" x14ac:dyDescent="0.25">
      <c r="A2549" s="2" t="s">
        <v>74</v>
      </c>
      <c r="B2549" s="2">
        <v>100</v>
      </c>
      <c r="C2549" s="2" t="s">
        <v>10331</v>
      </c>
      <c r="D2549" s="2" t="s">
        <v>10330</v>
      </c>
      <c r="E2549" s="2" t="s">
        <v>54</v>
      </c>
      <c r="F2549" s="3">
        <v>43004</v>
      </c>
      <c r="G2549" s="2" t="str">
        <f>"9781503604056"</f>
        <v>9781503604056</v>
      </c>
      <c r="H2549" s="2" t="s">
        <v>14</v>
      </c>
      <c r="I2549" s="4">
        <v>43067.633333333331</v>
      </c>
      <c r="J2549" s="2" t="s">
        <v>10332</v>
      </c>
    </row>
    <row r="2550" spans="1:10" ht="135" x14ac:dyDescent="0.25">
      <c r="A2550" s="2" t="s">
        <v>74</v>
      </c>
      <c r="B2550" s="2">
        <v>149.91</v>
      </c>
      <c r="C2550" s="2" t="s">
        <v>1493</v>
      </c>
      <c r="D2550" s="2" t="s">
        <v>11684</v>
      </c>
      <c r="E2550" s="2" t="s">
        <v>11</v>
      </c>
      <c r="F2550" s="3">
        <v>39330</v>
      </c>
      <c r="G2550" s="2" t="str">
        <f>"9780813220666"</f>
        <v>9780813220666</v>
      </c>
      <c r="H2550" s="2" t="s">
        <v>14</v>
      </c>
      <c r="I2550" s="4">
        <v>42912.892361111109</v>
      </c>
      <c r="J2550" s="2" t="s">
        <v>11685</v>
      </c>
    </row>
    <row r="2551" spans="1:10" ht="135" x14ac:dyDescent="0.25">
      <c r="A2551" s="2" t="s">
        <v>74</v>
      </c>
      <c r="B2551" s="2">
        <v>184</v>
      </c>
      <c r="C2551" s="2" t="s">
        <v>10515</v>
      </c>
      <c r="D2551" s="2" t="s">
        <v>10514</v>
      </c>
      <c r="E2551" s="2" t="s">
        <v>216</v>
      </c>
      <c r="F2551" s="3">
        <v>42491</v>
      </c>
      <c r="G2551" s="2" t="str">
        <f>"9781438460208"</f>
        <v>9781438460208</v>
      </c>
      <c r="H2551" s="2" t="s">
        <v>14</v>
      </c>
      <c r="I2551" s="4">
        <v>43052.959027777775</v>
      </c>
      <c r="J2551" s="2" t="s">
        <v>10516</v>
      </c>
    </row>
    <row r="2552" spans="1:10" ht="135" x14ac:dyDescent="0.25">
      <c r="A2552" s="2" t="s">
        <v>10996</v>
      </c>
      <c r="B2552" s="2">
        <v>179.1</v>
      </c>
      <c r="C2552" s="2" t="s">
        <v>10997</v>
      </c>
      <c r="D2552" s="2" t="s">
        <v>10995</v>
      </c>
      <c r="E2552" s="2" t="s">
        <v>97</v>
      </c>
      <c r="F2552" s="3">
        <v>42472</v>
      </c>
      <c r="G2552" s="2" t="str">
        <f>"9780231541367"</f>
        <v>9780231541367</v>
      </c>
      <c r="H2552" s="2" t="s">
        <v>14</v>
      </c>
      <c r="I2552" s="4">
        <v>43024.297222222223</v>
      </c>
      <c r="J2552" s="2" t="s">
        <v>10998</v>
      </c>
    </row>
    <row r="2553" spans="1:10" ht="135" x14ac:dyDescent="0.25">
      <c r="A2553" s="2" t="s">
        <v>2380</v>
      </c>
      <c r="B2553" s="2">
        <v>750.1</v>
      </c>
      <c r="C2553" s="2" t="s">
        <v>6897</v>
      </c>
      <c r="D2553" s="2" t="s">
        <v>6896</v>
      </c>
      <c r="E2553" s="2" t="s">
        <v>73</v>
      </c>
      <c r="F2553" s="3">
        <v>43062</v>
      </c>
      <c r="G2553" s="2" t="str">
        <f>"9781452955049"</f>
        <v>9781452955049</v>
      </c>
      <c r="H2553" s="2" t="s">
        <v>14</v>
      </c>
      <c r="I2553" s="4">
        <v>43477.768055555556</v>
      </c>
      <c r="J2553" s="2" t="s">
        <v>6898</v>
      </c>
    </row>
    <row r="2554" spans="1:10" ht="150" x14ac:dyDescent="0.25">
      <c r="A2554" s="2" t="s">
        <v>2380</v>
      </c>
      <c r="B2554" s="2">
        <v>700.1</v>
      </c>
      <c r="C2554" s="2" t="s">
        <v>2975</v>
      </c>
      <c r="D2554" s="2" t="s">
        <v>2974</v>
      </c>
      <c r="E2554" s="2" t="s">
        <v>521</v>
      </c>
      <c r="F2554" s="3">
        <v>43753</v>
      </c>
      <c r="G2554" s="2" t="str">
        <f>"9789461662866"</f>
        <v>9789461662866</v>
      </c>
      <c r="H2554" s="2" t="s">
        <v>14</v>
      </c>
      <c r="I2554" s="4">
        <v>43837.427777777775</v>
      </c>
      <c r="J2554" s="2" t="s">
        <v>2976</v>
      </c>
    </row>
    <row r="2555" spans="1:10" ht="135" x14ac:dyDescent="0.25">
      <c r="A2555" s="2" t="s">
        <v>2380</v>
      </c>
      <c r="B2555" s="2">
        <v>701.03</v>
      </c>
      <c r="C2555" s="2" t="s">
        <v>2381</v>
      </c>
      <c r="D2555" s="2" t="s">
        <v>2379</v>
      </c>
      <c r="E2555" s="2" t="s">
        <v>460</v>
      </c>
      <c r="F2555" s="3">
        <v>43706</v>
      </c>
      <c r="G2555" s="2" t="str">
        <f>"9780773558380"</f>
        <v>9780773558380</v>
      </c>
      <c r="H2555" s="2" t="s">
        <v>14</v>
      </c>
      <c r="I2555" s="4">
        <v>43888.64166666667</v>
      </c>
      <c r="J2555" s="2" t="s">
        <v>2382</v>
      </c>
    </row>
    <row r="2556" spans="1:10" ht="135" x14ac:dyDescent="0.25">
      <c r="A2556" s="2" t="s">
        <v>2380</v>
      </c>
      <c r="B2556" s="2">
        <v>782.10919999999999</v>
      </c>
      <c r="C2556" s="2" t="s">
        <v>9226</v>
      </c>
      <c r="D2556" s="2" t="s">
        <v>9225</v>
      </c>
      <c r="E2556" s="2" t="s">
        <v>328</v>
      </c>
      <c r="F2556" s="3">
        <v>42010</v>
      </c>
      <c r="G2556" s="2" t="str">
        <f>"9780739193167"</f>
        <v>9780739193167</v>
      </c>
      <c r="H2556" s="2" t="s">
        <v>14</v>
      </c>
      <c r="I2556" s="4">
        <v>43199.405555555553</v>
      </c>
      <c r="J2556" s="2" t="s">
        <v>9227</v>
      </c>
    </row>
    <row r="2557" spans="1:10" ht="135" x14ac:dyDescent="0.25">
      <c r="A2557" s="2" t="s">
        <v>2380</v>
      </c>
      <c r="B2557" s="2">
        <v>700.904</v>
      </c>
      <c r="C2557" s="2" t="s">
        <v>11892</v>
      </c>
      <c r="D2557" s="2" t="s">
        <v>11891</v>
      </c>
      <c r="E2557" s="2" t="s">
        <v>97</v>
      </c>
      <c r="F2557" s="3">
        <v>41919</v>
      </c>
      <c r="G2557" s="2" t="str">
        <f>"9780231538251"</f>
        <v>9780231538251</v>
      </c>
      <c r="H2557" s="2" t="s">
        <v>14</v>
      </c>
      <c r="I2557" s="4">
        <v>42874.467361111114</v>
      </c>
      <c r="J2557" s="2" t="s">
        <v>11893</v>
      </c>
    </row>
    <row r="2558" spans="1:10" ht="135" x14ac:dyDescent="0.25">
      <c r="A2558" s="2" t="s">
        <v>2380</v>
      </c>
      <c r="B2558" s="2">
        <v>700.41700000000003</v>
      </c>
      <c r="C2558" s="2" t="s">
        <v>5409</v>
      </c>
      <c r="D2558" s="2" t="s">
        <v>5408</v>
      </c>
      <c r="E2558" s="2" t="s">
        <v>101</v>
      </c>
      <c r="F2558" s="3">
        <v>42993</v>
      </c>
      <c r="G2558" s="2" t="str">
        <f>"9780810135826"</f>
        <v>9780810135826</v>
      </c>
      <c r="H2558" s="2" t="s">
        <v>14</v>
      </c>
      <c r="I2558" s="4">
        <v>43600.452777777777</v>
      </c>
      <c r="J2558" s="2" t="s">
        <v>5410</v>
      </c>
    </row>
    <row r="2559" spans="1:10" ht="135" x14ac:dyDescent="0.25">
      <c r="A2559" s="2" t="s">
        <v>2216</v>
      </c>
      <c r="B2559" s="2">
        <v>1</v>
      </c>
      <c r="C2559" s="2" t="s">
        <v>2217</v>
      </c>
      <c r="D2559" s="2" t="s">
        <v>2215</v>
      </c>
      <c r="E2559" s="2" t="s">
        <v>216</v>
      </c>
      <c r="F2559" s="3">
        <v>43831</v>
      </c>
      <c r="G2559" s="2" t="str">
        <f>"9781438477565"</f>
        <v>9781438477565</v>
      </c>
      <c r="H2559" s="2" t="s">
        <v>14</v>
      </c>
      <c r="I2559" s="4">
        <v>43900.665277777778</v>
      </c>
      <c r="J2559" s="2" t="s">
        <v>2218</v>
      </c>
    </row>
    <row r="2560" spans="1:10" ht="135" x14ac:dyDescent="0.25">
      <c r="A2560" s="2" t="s">
        <v>2216</v>
      </c>
      <c r="B2560" s="2">
        <v>1</v>
      </c>
      <c r="C2560" s="2" t="s">
        <v>11879</v>
      </c>
      <c r="D2560" s="2" t="s">
        <v>11878</v>
      </c>
      <c r="E2560" s="2" t="s">
        <v>9021</v>
      </c>
      <c r="F2560" s="3">
        <v>42699</v>
      </c>
      <c r="G2560" s="2" t="str">
        <f>"9780813585918"</f>
        <v>9780813585918</v>
      </c>
      <c r="H2560" s="2" t="s">
        <v>14</v>
      </c>
      <c r="I2560" s="4">
        <v>42874.939583333333</v>
      </c>
      <c r="J2560" s="2" t="s">
        <v>11880</v>
      </c>
    </row>
    <row r="2561" spans="1:10" ht="135" x14ac:dyDescent="0.25">
      <c r="A2561" s="2" t="s">
        <v>2216</v>
      </c>
      <c r="B2561" s="2" t="s">
        <v>8080</v>
      </c>
      <c r="C2561" s="2" t="s">
        <v>8081</v>
      </c>
      <c r="D2561" s="2" t="s">
        <v>8079</v>
      </c>
      <c r="E2561" s="2" t="s">
        <v>585</v>
      </c>
      <c r="F2561" s="3">
        <v>42873</v>
      </c>
      <c r="G2561" s="2" t="str">
        <f>"9780226403533"</f>
        <v>9780226403533</v>
      </c>
      <c r="H2561" s="2" t="s">
        <v>14</v>
      </c>
      <c r="I2561" s="4">
        <v>43356.322916666664</v>
      </c>
      <c r="J2561" s="2" t="s">
        <v>8082</v>
      </c>
    </row>
    <row r="2562" spans="1:10" ht="165" x14ac:dyDescent="0.25">
      <c r="A2562" s="2" t="s">
        <v>9448</v>
      </c>
      <c r="B2562" s="2">
        <v>401</v>
      </c>
      <c r="C2562" s="2" t="s">
        <v>1263</v>
      </c>
      <c r="D2562" s="2" t="s">
        <v>9447</v>
      </c>
      <c r="E2562" s="2" t="s">
        <v>37</v>
      </c>
      <c r="F2562" s="3">
        <v>42632</v>
      </c>
      <c r="G2562" s="2" t="str">
        <f>"9783319269085"</f>
        <v>9783319269085</v>
      </c>
      <c r="H2562" s="2" t="s">
        <v>14</v>
      </c>
      <c r="I2562" s="4">
        <v>43166.618055555555</v>
      </c>
      <c r="J2562" s="2" t="s">
        <v>9449</v>
      </c>
    </row>
    <row r="2563" spans="1:10" ht="135" x14ac:dyDescent="0.25">
      <c r="A2563" s="2" t="s">
        <v>8606</v>
      </c>
      <c r="B2563" s="2">
        <v>174.3</v>
      </c>
      <c r="C2563" s="2" t="s">
        <v>8607</v>
      </c>
      <c r="D2563" s="2" t="s">
        <v>8605</v>
      </c>
      <c r="E2563" s="2" t="s">
        <v>54</v>
      </c>
      <c r="F2563" s="3">
        <v>43193</v>
      </c>
      <c r="G2563" s="2" t="str">
        <f>"9781503605831"</f>
        <v>9781503605831</v>
      </c>
      <c r="H2563" s="2" t="s">
        <v>14</v>
      </c>
      <c r="I2563" s="4">
        <v>43283.955555555556</v>
      </c>
      <c r="J2563" s="2" t="s">
        <v>8608</v>
      </c>
    </row>
    <row r="2564" spans="1:10" ht="135" x14ac:dyDescent="0.25">
      <c r="A2564" s="2" t="s">
        <v>2457</v>
      </c>
      <c r="B2564" s="2" t="s">
        <v>824</v>
      </c>
      <c r="C2564" s="2" t="s">
        <v>3556</v>
      </c>
      <c r="D2564" s="2" t="s">
        <v>7340</v>
      </c>
      <c r="E2564" s="2" t="s">
        <v>531</v>
      </c>
      <c r="F2564" s="3">
        <v>43040</v>
      </c>
      <c r="G2564" s="2" t="str">
        <f>"9780809336265"</f>
        <v>9780809336265</v>
      </c>
      <c r="H2564" s="2" t="s">
        <v>14</v>
      </c>
      <c r="I2564" s="4">
        <v>43424.709027777775</v>
      </c>
      <c r="J2564" s="2" t="s">
        <v>7341</v>
      </c>
    </row>
    <row r="2565" spans="1:10" ht="135" x14ac:dyDescent="0.25">
      <c r="A2565" s="2" t="s">
        <v>2457</v>
      </c>
      <c r="B2565" s="2">
        <v>128.46</v>
      </c>
      <c r="C2565" s="2" t="s">
        <v>9356</v>
      </c>
      <c r="D2565" s="2" t="s">
        <v>9355</v>
      </c>
      <c r="E2565" s="2" t="s">
        <v>54</v>
      </c>
      <c r="F2565" s="3">
        <v>42885</v>
      </c>
      <c r="G2565" s="2" t="str">
        <f>"9781503602328"</f>
        <v>9781503602328</v>
      </c>
      <c r="H2565" s="2" t="s">
        <v>14</v>
      </c>
      <c r="I2565" s="4">
        <v>43179.734027777777</v>
      </c>
      <c r="J2565" s="2" t="s">
        <v>9357</v>
      </c>
    </row>
    <row r="2566" spans="1:10" ht="135" x14ac:dyDescent="0.25">
      <c r="A2566" s="2" t="s">
        <v>2457</v>
      </c>
      <c r="B2566" s="2" t="s">
        <v>10577</v>
      </c>
      <c r="C2566" s="2" t="s">
        <v>10578</v>
      </c>
      <c r="D2566" s="2" t="s">
        <v>10576</v>
      </c>
      <c r="E2566" s="2" t="s">
        <v>390</v>
      </c>
      <c r="F2566" s="3">
        <v>42855</v>
      </c>
      <c r="G2566" s="2" t="str">
        <f>"9780268100506"</f>
        <v>9780268100506</v>
      </c>
      <c r="H2566" s="2" t="s">
        <v>14</v>
      </c>
      <c r="I2566" s="4">
        <v>43048.908333333333</v>
      </c>
      <c r="J2566" s="2" t="s">
        <v>10579</v>
      </c>
    </row>
    <row r="2567" spans="1:10" ht="135" x14ac:dyDescent="0.25">
      <c r="A2567" s="2" t="s">
        <v>2457</v>
      </c>
      <c r="B2567" s="2">
        <v>194</v>
      </c>
      <c r="C2567" s="2" t="s">
        <v>2458</v>
      </c>
      <c r="D2567" s="2" t="s">
        <v>2456</v>
      </c>
      <c r="E2567" s="2" t="s">
        <v>73</v>
      </c>
      <c r="F2567" s="3">
        <v>42330</v>
      </c>
      <c r="G2567" s="2" t="str">
        <f>"9781937561932"</f>
        <v>9781937561932</v>
      </c>
      <c r="H2567" s="2" t="s">
        <v>14</v>
      </c>
      <c r="I2567" s="4">
        <v>43883.809027777781</v>
      </c>
      <c r="J2567" s="2" t="s">
        <v>2459</v>
      </c>
    </row>
    <row r="2568" spans="1:10" ht="135" x14ac:dyDescent="0.25">
      <c r="A2568" s="2" t="s">
        <v>2457</v>
      </c>
      <c r="B2568" s="2">
        <v>892.71339999999998</v>
      </c>
      <c r="C2568" s="2" t="s">
        <v>3779</v>
      </c>
      <c r="D2568" s="2" t="s">
        <v>3778</v>
      </c>
      <c r="E2568" s="2" t="s">
        <v>180</v>
      </c>
      <c r="F2568" s="3">
        <v>42444</v>
      </c>
      <c r="G2568" s="2" t="str">
        <f>"9781479848102"</f>
        <v>9781479848102</v>
      </c>
      <c r="H2568" s="2" t="s">
        <v>14</v>
      </c>
      <c r="I2568" s="4">
        <v>43755.470833333333</v>
      </c>
      <c r="J2568" s="2" t="s">
        <v>3780</v>
      </c>
    </row>
    <row r="2569" spans="1:10" ht="135" x14ac:dyDescent="0.25">
      <c r="A2569" s="2" t="s">
        <v>2437</v>
      </c>
      <c r="B2569" s="2">
        <v>174.28</v>
      </c>
      <c r="C2569" s="2" t="s">
        <v>2438</v>
      </c>
      <c r="D2569" s="2" t="s">
        <v>2436</v>
      </c>
      <c r="E2569" s="2" t="s">
        <v>121</v>
      </c>
      <c r="F2569" s="3">
        <v>43709</v>
      </c>
      <c r="G2569" s="2" t="str">
        <f>"9781609176174"</f>
        <v>9781609176174</v>
      </c>
      <c r="H2569" s="2" t="s">
        <v>14</v>
      </c>
      <c r="I2569" s="4">
        <v>43885.53402777778</v>
      </c>
      <c r="J2569" s="2" t="s">
        <v>2439</v>
      </c>
    </row>
    <row r="2570" spans="1:10" ht="135" x14ac:dyDescent="0.25">
      <c r="A2570" s="2" t="s">
        <v>7144</v>
      </c>
      <c r="B2570" s="2" t="s">
        <v>7145</v>
      </c>
      <c r="C2570" s="2" t="s">
        <v>7146</v>
      </c>
      <c r="D2570" s="2" t="s">
        <v>7143</v>
      </c>
      <c r="E2570" s="2" t="s">
        <v>216</v>
      </c>
      <c r="F2570" s="3">
        <v>42795</v>
      </c>
      <c r="G2570" s="2" t="str">
        <f>"9781438464046"</f>
        <v>9781438464046</v>
      </c>
      <c r="H2570" s="2" t="s">
        <v>14</v>
      </c>
      <c r="I2570" s="4">
        <v>43440.45</v>
      </c>
      <c r="J2570" s="2" t="s">
        <v>7147</v>
      </c>
    </row>
    <row r="2571" spans="1:10" ht="135" x14ac:dyDescent="0.25">
      <c r="A2571" s="2" t="s">
        <v>7144</v>
      </c>
      <c r="B2571" s="2" t="s">
        <v>7145</v>
      </c>
      <c r="C2571" s="2" t="s">
        <v>11018</v>
      </c>
      <c r="D2571" s="2" t="s">
        <v>11017</v>
      </c>
      <c r="E2571" s="2" t="s">
        <v>499</v>
      </c>
      <c r="F2571" s="3">
        <v>41666</v>
      </c>
      <c r="G2571" s="2" t="str">
        <f>"9781626160286"</f>
        <v>9781626160286</v>
      </c>
      <c r="H2571" s="2" t="s">
        <v>14</v>
      </c>
      <c r="I2571" s="4">
        <v>43023.424305555556</v>
      </c>
      <c r="J2571" s="2" t="s">
        <v>11019</v>
      </c>
    </row>
    <row r="2572" spans="1:10" ht="135" x14ac:dyDescent="0.25">
      <c r="A2572" s="2" t="s">
        <v>3769</v>
      </c>
      <c r="B2572" s="2">
        <v>174.2944</v>
      </c>
      <c r="C2572" s="2" t="s">
        <v>7556</v>
      </c>
      <c r="D2572" s="2" t="s">
        <v>7555</v>
      </c>
      <c r="E2572" s="2" t="s">
        <v>499</v>
      </c>
      <c r="F2572" s="3">
        <v>42795</v>
      </c>
      <c r="G2572" s="2" t="str">
        <f>"9781626164055"</f>
        <v>9781626164055</v>
      </c>
      <c r="H2572" s="2" t="s">
        <v>14</v>
      </c>
      <c r="I2572" s="4">
        <v>43409.013194444444</v>
      </c>
      <c r="J2572" s="2" t="s">
        <v>7557</v>
      </c>
    </row>
    <row r="2573" spans="1:10" ht="135" x14ac:dyDescent="0.25">
      <c r="A2573" s="2" t="s">
        <v>3769</v>
      </c>
      <c r="B2573" s="2">
        <v>320.01100000000002</v>
      </c>
      <c r="C2573" s="2" t="s">
        <v>8655</v>
      </c>
      <c r="D2573" s="2" t="s">
        <v>8654</v>
      </c>
      <c r="E2573" s="2" t="s">
        <v>216</v>
      </c>
      <c r="F2573" s="3">
        <v>42644</v>
      </c>
      <c r="G2573" s="2" t="str">
        <f>"9781438461878"</f>
        <v>9781438461878</v>
      </c>
      <c r="H2573" s="2" t="s">
        <v>14</v>
      </c>
      <c r="I2573" s="4">
        <v>43276.463194444441</v>
      </c>
      <c r="J2573" s="2" t="s">
        <v>8656</v>
      </c>
    </row>
    <row r="2574" spans="1:10" ht="135" x14ac:dyDescent="0.25">
      <c r="A2574" s="2" t="s">
        <v>3769</v>
      </c>
      <c r="B2574" s="2" t="s">
        <v>10216</v>
      </c>
      <c r="C2574" s="2" t="s">
        <v>2803</v>
      </c>
      <c r="D2574" s="2" t="s">
        <v>10215</v>
      </c>
      <c r="E2574" s="2" t="s">
        <v>531</v>
      </c>
      <c r="F2574" s="3">
        <v>42578</v>
      </c>
      <c r="G2574" s="2" t="str">
        <f>"9780809335053"</f>
        <v>9780809335053</v>
      </c>
      <c r="H2574" s="2" t="s">
        <v>14</v>
      </c>
      <c r="I2574" s="4">
        <v>43082.376388888886</v>
      </c>
      <c r="J2574" s="2" t="s">
        <v>10217</v>
      </c>
    </row>
    <row r="2575" spans="1:10" ht="165" x14ac:dyDescent="0.25">
      <c r="A2575" s="2" t="s">
        <v>3769</v>
      </c>
      <c r="B2575" s="2">
        <v>321.89999999999998</v>
      </c>
      <c r="C2575" s="2" t="s">
        <v>10116</v>
      </c>
      <c r="D2575" s="2" t="s">
        <v>10115</v>
      </c>
      <c r="E2575" s="2" t="s">
        <v>216</v>
      </c>
      <c r="F2575" s="3">
        <v>42719</v>
      </c>
      <c r="G2575" s="2" t="str">
        <f>"9781438462110"</f>
        <v>9781438462110</v>
      </c>
      <c r="H2575" s="2" t="s">
        <v>14</v>
      </c>
      <c r="I2575" s="4">
        <v>43098.738888888889</v>
      </c>
      <c r="J2575" s="2" t="s">
        <v>10117</v>
      </c>
    </row>
    <row r="2576" spans="1:10" ht="135" x14ac:dyDescent="0.25">
      <c r="A2576" s="2" t="s">
        <v>3769</v>
      </c>
      <c r="B2576" s="2">
        <v>192</v>
      </c>
      <c r="C2576" s="2" t="s">
        <v>3770</v>
      </c>
      <c r="D2576" s="2" t="s">
        <v>3768</v>
      </c>
      <c r="E2576" s="2" t="s">
        <v>216</v>
      </c>
      <c r="F2576" s="3">
        <v>42278</v>
      </c>
      <c r="G2576" s="2" t="str">
        <f>"9781438457673"</f>
        <v>9781438457673</v>
      </c>
      <c r="H2576" s="2" t="s">
        <v>14</v>
      </c>
      <c r="I2576" s="4">
        <v>43756.4375</v>
      </c>
      <c r="J2576" s="2" t="s">
        <v>3771</v>
      </c>
    </row>
    <row r="2577" spans="1:10" ht="135" x14ac:dyDescent="0.25">
      <c r="A2577" s="2" t="s">
        <v>744</v>
      </c>
      <c r="D2577" s="2" t="s">
        <v>743</v>
      </c>
      <c r="E2577" s="2" t="s">
        <v>69</v>
      </c>
      <c r="F2577" s="3">
        <v>43579</v>
      </c>
      <c r="G2577" s="2" t="str">
        <f>"9780253041852"</f>
        <v>9780253041852</v>
      </c>
      <c r="H2577" s="2" t="s">
        <v>14</v>
      </c>
      <c r="I2577" s="4">
        <v>43993.479166666664</v>
      </c>
      <c r="J2577" s="2" t="s">
        <v>745</v>
      </c>
    </row>
    <row r="2578" spans="1:10" ht="135" x14ac:dyDescent="0.25">
      <c r="A2578" s="2" t="s">
        <v>1056</v>
      </c>
      <c r="B2578" s="2" t="s">
        <v>9331</v>
      </c>
      <c r="C2578" s="2" t="s">
        <v>9332</v>
      </c>
      <c r="D2578" s="2" t="s">
        <v>9330</v>
      </c>
      <c r="E2578" s="2" t="s">
        <v>121</v>
      </c>
      <c r="F2578" s="3">
        <v>42248</v>
      </c>
      <c r="G2578" s="2" t="str">
        <f>"9781609174729"</f>
        <v>9781609174729</v>
      </c>
      <c r="H2578" s="2" t="s">
        <v>14</v>
      </c>
      <c r="I2578" s="4">
        <v>43185.5625</v>
      </c>
      <c r="J2578" s="2" t="s">
        <v>9333</v>
      </c>
    </row>
    <row r="2579" spans="1:10" ht="135" x14ac:dyDescent="0.25">
      <c r="A2579" s="2" t="s">
        <v>1056</v>
      </c>
      <c r="B2579" s="2">
        <v>191</v>
      </c>
      <c r="C2579" s="2" t="s">
        <v>8994</v>
      </c>
      <c r="D2579" s="2" t="s">
        <v>8993</v>
      </c>
      <c r="E2579" s="2" t="s">
        <v>216</v>
      </c>
      <c r="F2579" s="3">
        <v>37861</v>
      </c>
      <c r="G2579" s="2" t="str">
        <f>"9780791486450"</f>
        <v>9780791486450</v>
      </c>
      <c r="H2579" s="2" t="s">
        <v>14</v>
      </c>
      <c r="I2579" s="4">
        <v>43229.413888888892</v>
      </c>
      <c r="J2579" s="2" t="s">
        <v>8995</v>
      </c>
    </row>
    <row r="2580" spans="1:10" ht="135" x14ac:dyDescent="0.25">
      <c r="A2580" s="2" t="s">
        <v>1056</v>
      </c>
      <c r="B2580" s="2">
        <v>139</v>
      </c>
      <c r="C2580" s="2" t="s">
        <v>1586</v>
      </c>
      <c r="D2580" s="2" t="s">
        <v>1585</v>
      </c>
      <c r="E2580" s="2" t="s">
        <v>585</v>
      </c>
      <c r="F2580" s="3">
        <v>43581</v>
      </c>
      <c r="G2580" s="2" t="str">
        <f>"9780226626895"</f>
        <v>9780226626895</v>
      </c>
      <c r="H2580" s="2" t="s">
        <v>14</v>
      </c>
      <c r="I2580" s="4">
        <v>43936.651388888888</v>
      </c>
      <c r="J2580" s="2" t="s">
        <v>1587</v>
      </c>
    </row>
    <row r="2581" spans="1:10" ht="135" x14ac:dyDescent="0.25">
      <c r="A2581" s="2" t="s">
        <v>1056</v>
      </c>
      <c r="B2581" s="2">
        <v>128</v>
      </c>
      <c r="C2581" s="2" t="s">
        <v>1057</v>
      </c>
      <c r="D2581" s="2" t="s">
        <v>1055</v>
      </c>
      <c r="E2581" s="2" t="s">
        <v>856</v>
      </c>
      <c r="F2581" s="3">
        <v>38353</v>
      </c>
      <c r="G2581" s="2" t="str">
        <f>"9780295801841"</f>
        <v>9780295801841</v>
      </c>
      <c r="H2581" s="2" t="s">
        <v>14</v>
      </c>
      <c r="I2581" s="4">
        <v>43966.888194444444</v>
      </c>
      <c r="J2581" s="2" t="s">
        <v>1058</v>
      </c>
    </row>
    <row r="2582" spans="1:10" ht="135" x14ac:dyDescent="0.25">
      <c r="A2582" s="2" t="s">
        <v>6479</v>
      </c>
      <c r="B2582" s="2">
        <v>233.7</v>
      </c>
      <c r="C2582" s="2" t="s">
        <v>12775</v>
      </c>
      <c r="D2582" s="2" t="s">
        <v>12774</v>
      </c>
      <c r="E2582" s="2" t="s">
        <v>2747</v>
      </c>
      <c r="F2582" s="3">
        <v>42286</v>
      </c>
      <c r="G2582" s="2" t="str">
        <f>"9781453915950"</f>
        <v>9781453915950</v>
      </c>
      <c r="H2582" s="2" t="s">
        <v>14</v>
      </c>
      <c r="I2582" s="4">
        <v>42775.540972222225</v>
      </c>
      <c r="J2582" s="2" t="s">
        <v>12776</v>
      </c>
    </row>
    <row r="2583" spans="1:10" ht="135" x14ac:dyDescent="0.25">
      <c r="A2583" s="2" t="s">
        <v>6479</v>
      </c>
      <c r="B2583" s="2">
        <v>210.92</v>
      </c>
      <c r="C2583" s="2" t="s">
        <v>7894</v>
      </c>
      <c r="D2583" s="2" t="s">
        <v>7893</v>
      </c>
      <c r="E2583" s="2" t="s">
        <v>216</v>
      </c>
      <c r="F2583" s="3">
        <v>42928</v>
      </c>
      <c r="G2583" s="2" t="str">
        <f>"9781438465265"</f>
        <v>9781438465265</v>
      </c>
      <c r="H2583" s="2" t="s">
        <v>14</v>
      </c>
      <c r="I2583" s="4">
        <v>43380.55972222222</v>
      </c>
      <c r="J2583" s="2" t="s">
        <v>7895</v>
      </c>
    </row>
    <row r="2584" spans="1:10" ht="150" x14ac:dyDescent="0.25">
      <c r="A2584" s="2" t="s">
        <v>6479</v>
      </c>
      <c r="B2584" s="2">
        <v>201.5</v>
      </c>
      <c r="C2584" s="2" t="s">
        <v>10587</v>
      </c>
      <c r="D2584" s="2" t="s">
        <v>10586</v>
      </c>
      <c r="E2584" s="2" t="s">
        <v>328</v>
      </c>
      <c r="F2584" s="3">
        <v>41906</v>
      </c>
      <c r="G2584" s="2" t="str">
        <f>"9780739193723"</f>
        <v>9780739193723</v>
      </c>
      <c r="H2584" s="2" t="s">
        <v>14</v>
      </c>
      <c r="I2584" s="4">
        <v>43048.657638888886</v>
      </c>
      <c r="J2584" s="2" t="s">
        <v>10588</v>
      </c>
    </row>
    <row r="2585" spans="1:10" ht="150" x14ac:dyDescent="0.25">
      <c r="A2585" s="2" t="s">
        <v>6479</v>
      </c>
      <c r="B2585" s="2">
        <v>198.9</v>
      </c>
      <c r="C2585" s="2" t="s">
        <v>8782</v>
      </c>
      <c r="D2585" s="2" t="s">
        <v>8781</v>
      </c>
      <c r="E2585" s="2" t="s">
        <v>69</v>
      </c>
      <c r="F2585" s="3">
        <v>42751</v>
      </c>
      <c r="G2585" s="2" t="str">
        <f>"9780253025029"</f>
        <v>9780253025029</v>
      </c>
      <c r="H2585" s="2" t="s">
        <v>14</v>
      </c>
      <c r="I2585" s="4">
        <v>43252.734722222223</v>
      </c>
      <c r="J2585" s="2" t="s">
        <v>8783</v>
      </c>
    </row>
    <row r="2586" spans="1:10" ht="135" x14ac:dyDescent="0.25">
      <c r="A2586" s="2" t="s">
        <v>6479</v>
      </c>
      <c r="B2586" s="2" t="s">
        <v>2426</v>
      </c>
      <c r="C2586" s="2" t="s">
        <v>6480</v>
      </c>
      <c r="D2586" s="2" t="s">
        <v>6478</v>
      </c>
      <c r="E2586" s="2" t="s">
        <v>216</v>
      </c>
      <c r="F2586" s="3">
        <v>42156</v>
      </c>
      <c r="G2586" s="2" t="str">
        <f>"9781438456539"</f>
        <v>9781438456539</v>
      </c>
      <c r="H2586" s="2" t="s">
        <v>14</v>
      </c>
      <c r="I2586" s="4">
        <v>43514.831250000003</v>
      </c>
      <c r="J2586" s="2" t="s">
        <v>6481</v>
      </c>
    </row>
    <row r="2587" spans="1:10" ht="135" x14ac:dyDescent="0.25">
      <c r="A2587" s="2" t="s">
        <v>6479</v>
      </c>
      <c r="B2587" s="2">
        <v>211.8</v>
      </c>
      <c r="C2587" s="2" t="s">
        <v>1263</v>
      </c>
      <c r="D2587" s="2" t="s">
        <v>9877</v>
      </c>
      <c r="E2587" s="2" t="s">
        <v>37</v>
      </c>
      <c r="F2587" s="3">
        <v>42909</v>
      </c>
      <c r="G2587" s="2" t="str">
        <f>"9783319549644"</f>
        <v>9783319549644</v>
      </c>
      <c r="H2587" s="2" t="s">
        <v>14</v>
      </c>
      <c r="I2587" s="4">
        <v>43123.543055555558</v>
      </c>
      <c r="J2587" s="2" t="s">
        <v>9878</v>
      </c>
    </row>
    <row r="2588" spans="1:10" ht="135" x14ac:dyDescent="0.25">
      <c r="A2588" s="2" t="s">
        <v>6479</v>
      </c>
      <c r="B2588" s="2" t="s">
        <v>12674</v>
      </c>
      <c r="C2588" s="2" t="s">
        <v>12675</v>
      </c>
      <c r="D2588" s="2" t="s">
        <v>12673</v>
      </c>
      <c r="E2588" s="2" t="s">
        <v>216</v>
      </c>
      <c r="F2588" s="3">
        <v>36020</v>
      </c>
      <c r="G2588" s="2" t="str">
        <f>"9781438414645"</f>
        <v>9781438414645</v>
      </c>
      <c r="H2588" s="2" t="s">
        <v>14</v>
      </c>
      <c r="I2588" s="4">
        <v>42784.313194444447</v>
      </c>
      <c r="J2588" s="2" t="s">
        <v>12676</v>
      </c>
    </row>
    <row r="2589" spans="1:10" ht="150" x14ac:dyDescent="0.25">
      <c r="A2589" s="2" t="s">
        <v>6479</v>
      </c>
      <c r="B2589" s="2">
        <v>210.92</v>
      </c>
      <c r="C2589" s="2" t="s">
        <v>9039</v>
      </c>
      <c r="D2589" s="2" t="s">
        <v>9038</v>
      </c>
      <c r="E2589" s="2" t="s">
        <v>216</v>
      </c>
      <c r="F2589" s="3">
        <v>42736</v>
      </c>
      <c r="G2589" s="2" t="str">
        <f>"9781438464312"</f>
        <v>9781438464312</v>
      </c>
      <c r="H2589" s="2" t="s">
        <v>14</v>
      </c>
      <c r="I2589" s="4">
        <v>43221.745138888888</v>
      </c>
      <c r="J2589" s="2" t="s">
        <v>9040</v>
      </c>
    </row>
    <row r="2590" spans="1:10" ht="135" x14ac:dyDescent="0.25">
      <c r="A2590" s="2" t="s">
        <v>903</v>
      </c>
      <c r="B2590" s="2">
        <v>580.1</v>
      </c>
      <c r="C2590" s="2" t="s">
        <v>904</v>
      </c>
      <c r="D2590" s="2" t="s">
        <v>902</v>
      </c>
      <c r="E2590" s="2" t="s">
        <v>73</v>
      </c>
      <c r="F2590" s="3">
        <v>42583</v>
      </c>
      <c r="G2590" s="2" t="str">
        <f>"9781945414084"</f>
        <v>9781945414084</v>
      </c>
      <c r="H2590" s="2" t="s">
        <v>14</v>
      </c>
      <c r="I2590" s="4">
        <v>43976.490277777775</v>
      </c>
      <c r="J2590" s="2" t="s">
        <v>905</v>
      </c>
    </row>
    <row r="2591" spans="1:10" ht="135" x14ac:dyDescent="0.25">
      <c r="A2591" s="2" t="s">
        <v>2301</v>
      </c>
      <c r="B2591" s="2" t="s">
        <v>2302</v>
      </c>
      <c r="C2591" s="2" t="s">
        <v>2303</v>
      </c>
      <c r="D2591" s="2" t="s">
        <v>2300</v>
      </c>
      <c r="E2591" s="2" t="s">
        <v>73</v>
      </c>
      <c r="F2591" s="3">
        <v>39423</v>
      </c>
      <c r="G2591" s="2" t="str">
        <f>"9780816654031"</f>
        <v>9780816654031</v>
      </c>
      <c r="H2591" s="2" t="s">
        <v>14</v>
      </c>
      <c r="I2591" s="4">
        <v>43894.986805555556</v>
      </c>
      <c r="J2591" s="2" t="s">
        <v>2304</v>
      </c>
    </row>
    <row r="2592" spans="1:10" ht="135" x14ac:dyDescent="0.25">
      <c r="A2592" s="2" t="s">
        <v>1699</v>
      </c>
      <c r="B2592" s="2">
        <v>306.39999999999998</v>
      </c>
      <c r="C2592" s="2" t="s">
        <v>4071</v>
      </c>
      <c r="D2592" s="2" t="s">
        <v>4070</v>
      </c>
      <c r="E2592" s="2" t="s">
        <v>216</v>
      </c>
      <c r="F2592" s="3">
        <v>41730</v>
      </c>
      <c r="G2592" s="2" t="str">
        <f>"9781438450230"</f>
        <v>9781438450230</v>
      </c>
      <c r="H2592" s="2" t="s">
        <v>14</v>
      </c>
      <c r="I2592" s="4">
        <v>43718.527777777781</v>
      </c>
      <c r="J2592" s="2" t="s">
        <v>4072</v>
      </c>
    </row>
    <row r="2593" spans="1:10" ht="135" x14ac:dyDescent="0.25">
      <c r="A2593" s="2" t="s">
        <v>1699</v>
      </c>
      <c r="B2593" s="2">
        <v>170</v>
      </c>
      <c r="C2593" s="2" t="s">
        <v>1027</v>
      </c>
      <c r="D2593" s="2" t="s">
        <v>1697</v>
      </c>
      <c r="E2593" s="2" t="s">
        <v>1698</v>
      </c>
      <c r="F2593" s="3">
        <v>43462</v>
      </c>
      <c r="G2593" s="2" t="str">
        <f>"9780674988712"</f>
        <v>9780674988712</v>
      </c>
      <c r="H2593" s="2" t="s">
        <v>14</v>
      </c>
      <c r="I2593" s="4">
        <v>43931.414583333331</v>
      </c>
      <c r="J2593" s="2" t="s">
        <v>1700</v>
      </c>
    </row>
    <row r="2594" spans="1:10" ht="135" x14ac:dyDescent="0.25">
      <c r="A2594" s="2" t="s">
        <v>1699</v>
      </c>
      <c r="B2594" s="2" t="s">
        <v>8620</v>
      </c>
      <c r="C2594" s="2" t="s">
        <v>8621</v>
      </c>
      <c r="D2594" s="2" t="s">
        <v>8619</v>
      </c>
      <c r="E2594" s="2" t="s">
        <v>216</v>
      </c>
      <c r="F2594" s="3">
        <v>42644</v>
      </c>
      <c r="G2594" s="2" t="str">
        <f>"9781438461724"</f>
        <v>9781438461724</v>
      </c>
      <c r="H2594" s="2" t="s">
        <v>14</v>
      </c>
      <c r="I2594" s="4">
        <v>43281.672222222223</v>
      </c>
      <c r="J2594" s="2" t="s">
        <v>8622</v>
      </c>
    </row>
    <row r="2595" spans="1:10" ht="135" x14ac:dyDescent="0.25">
      <c r="A2595" s="2" t="s">
        <v>1699</v>
      </c>
      <c r="B2595" s="2">
        <v>306.01</v>
      </c>
      <c r="C2595" s="2" t="s">
        <v>9245</v>
      </c>
      <c r="D2595" s="2" t="s">
        <v>9244</v>
      </c>
      <c r="E2595" s="2" t="s">
        <v>97</v>
      </c>
      <c r="F2595" s="3">
        <v>41786</v>
      </c>
      <c r="G2595" s="2" t="str">
        <f>"9780231537612"</f>
        <v>9780231537612</v>
      </c>
      <c r="H2595" s="2" t="s">
        <v>14</v>
      </c>
      <c r="I2595" s="4">
        <v>43195.68472222222</v>
      </c>
      <c r="J2595" s="2" t="s">
        <v>9246</v>
      </c>
    </row>
    <row r="2596" spans="1:10" ht="135" x14ac:dyDescent="0.25">
      <c r="A2596" s="2" t="s">
        <v>1699</v>
      </c>
      <c r="B2596" s="2">
        <v>174.93010000000001</v>
      </c>
      <c r="C2596" s="2" t="s">
        <v>6537</v>
      </c>
      <c r="D2596" s="2" t="s">
        <v>6536</v>
      </c>
      <c r="E2596" s="2" t="s">
        <v>195</v>
      </c>
      <c r="F2596" s="3">
        <v>43200</v>
      </c>
      <c r="G2596" s="2" t="str">
        <f>"9780816538300"</f>
        <v>9780816538300</v>
      </c>
      <c r="H2596" s="2" t="s">
        <v>14</v>
      </c>
      <c r="I2596" s="4">
        <v>43509.488194444442</v>
      </c>
      <c r="J2596" s="2" t="s">
        <v>6538</v>
      </c>
    </row>
    <row r="2597" spans="1:10" ht="135" x14ac:dyDescent="0.25">
      <c r="A2597" s="2" t="s">
        <v>1699</v>
      </c>
      <c r="B2597" s="2">
        <v>306</v>
      </c>
      <c r="C2597" s="2" t="s">
        <v>11846</v>
      </c>
      <c r="D2597" s="2" t="s">
        <v>11845</v>
      </c>
      <c r="E2597" s="2" t="s">
        <v>216</v>
      </c>
      <c r="F2597" s="3">
        <v>37749</v>
      </c>
      <c r="G2597" s="2" t="str">
        <f>"9780791486832"</f>
        <v>9780791486832</v>
      </c>
      <c r="H2597" s="2" t="s">
        <v>14</v>
      </c>
      <c r="I2597" s="4">
        <v>42882.443749999999</v>
      </c>
      <c r="J2597" s="2" t="s">
        <v>11847</v>
      </c>
    </row>
    <row r="2598" spans="1:10" ht="135" x14ac:dyDescent="0.25">
      <c r="A2598" s="2" t="s">
        <v>1699</v>
      </c>
      <c r="B2598" s="2">
        <v>301.09199999999998</v>
      </c>
      <c r="C2598" s="2" t="s">
        <v>7791</v>
      </c>
      <c r="D2598" s="2" t="s">
        <v>7790</v>
      </c>
      <c r="E2598" s="2" t="s">
        <v>328</v>
      </c>
      <c r="F2598" s="3">
        <v>41522</v>
      </c>
      <c r="G2598" s="2" t="str">
        <f>"9780739172049"</f>
        <v>9780739172049</v>
      </c>
      <c r="H2598" s="2" t="s">
        <v>14</v>
      </c>
      <c r="I2598" s="4">
        <v>43389.454861111109</v>
      </c>
      <c r="J2598" s="2" t="s">
        <v>7792</v>
      </c>
    </row>
    <row r="2599" spans="1:10" ht="135" x14ac:dyDescent="0.25">
      <c r="A2599" s="2" t="s">
        <v>1699</v>
      </c>
      <c r="B2599" s="2">
        <v>303.60000000000002</v>
      </c>
      <c r="C2599" s="2" t="s">
        <v>4119</v>
      </c>
      <c r="D2599" s="2" t="s">
        <v>4118</v>
      </c>
      <c r="E2599" s="2" t="s">
        <v>54</v>
      </c>
      <c r="F2599" s="3">
        <v>43683</v>
      </c>
      <c r="G2599" s="2" t="str">
        <f>"9781503609600"</f>
        <v>9781503609600</v>
      </c>
      <c r="H2599" s="2" t="s">
        <v>14</v>
      </c>
      <c r="I2599" s="4">
        <v>43711.701388888891</v>
      </c>
      <c r="J2599" s="2" t="s">
        <v>4120</v>
      </c>
    </row>
    <row r="2600" spans="1:10" ht="135" x14ac:dyDescent="0.25">
      <c r="A2600" s="2" t="s">
        <v>55</v>
      </c>
      <c r="B2600" s="2" t="s">
        <v>4646</v>
      </c>
      <c r="C2600" s="2" t="s">
        <v>4647</v>
      </c>
      <c r="D2600" s="2" t="s">
        <v>4645</v>
      </c>
      <c r="E2600" s="2" t="s">
        <v>121</v>
      </c>
      <c r="F2600" s="3">
        <v>43678</v>
      </c>
      <c r="G2600" s="2" t="str">
        <f>"9781609176082"</f>
        <v>9781609176082</v>
      </c>
      <c r="H2600" s="2" t="s">
        <v>14</v>
      </c>
      <c r="I2600" s="4">
        <v>43642.466666666667</v>
      </c>
      <c r="J2600" s="2" t="s">
        <v>4648</v>
      </c>
    </row>
    <row r="2601" spans="1:10" ht="135" x14ac:dyDescent="0.25">
      <c r="A2601" s="2" t="s">
        <v>55</v>
      </c>
      <c r="B2601" s="2">
        <v>352.16</v>
      </c>
      <c r="C2601" s="2" t="s">
        <v>3517</v>
      </c>
      <c r="D2601" s="2" t="s">
        <v>3516</v>
      </c>
      <c r="E2601" s="2" t="s">
        <v>268</v>
      </c>
      <c r="F2601" s="3">
        <v>43067</v>
      </c>
      <c r="G2601" s="2" t="str">
        <f>"9780815732877"</f>
        <v>9780815732877</v>
      </c>
      <c r="H2601" s="2" t="s">
        <v>14</v>
      </c>
      <c r="I2601" s="4">
        <v>43778.304861111108</v>
      </c>
      <c r="J2601" s="2" t="s">
        <v>3518</v>
      </c>
    </row>
    <row r="2602" spans="1:10" ht="135" x14ac:dyDescent="0.25">
      <c r="A2602" s="2" t="s">
        <v>55</v>
      </c>
      <c r="B2602" s="2" t="s">
        <v>4368</v>
      </c>
      <c r="C2602" s="2" t="s">
        <v>4369</v>
      </c>
      <c r="D2602" s="2" t="s">
        <v>4367</v>
      </c>
      <c r="E2602" s="2" t="s">
        <v>216</v>
      </c>
      <c r="F2602" s="3">
        <v>43160</v>
      </c>
      <c r="G2602" s="2" t="str">
        <f>"9781438467986"</f>
        <v>9781438467986</v>
      </c>
      <c r="H2602" s="2" t="s">
        <v>14</v>
      </c>
      <c r="I2602" s="4">
        <v>43677.25</v>
      </c>
      <c r="J2602" s="2" t="s">
        <v>4370</v>
      </c>
    </row>
    <row r="2603" spans="1:10" ht="135" x14ac:dyDescent="0.25">
      <c r="A2603" s="2" t="s">
        <v>55</v>
      </c>
      <c r="B2603" s="2">
        <v>320.98099999999999</v>
      </c>
      <c r="C2603" s="2" t="s">
        <v>3190</v>
      </c>
      <c r="D2603" s="2" t="s">
        <v>3189</v>
      </c>
      <c r="E2603" s="2" t="s">
        <v>390</v>
      </c>
      <c r="F2603" s="3">
        <v>42109</v>
      </c>
      <c r="G2603" s="2" t="str">
        <f>"9780268096731"</f>
        <v>9780268096731</v>
      </c>
      <c r="H2603" s="2" t="s">
        <v>14</v>
      </c>
      <c r="I2603" s="4">
        <v>43800.839583333334</v>
      </c>
      <c r="J2603" s="2" t="s">
        <v>3191</v>
      </c>
    </row>
    <row r="2604" spans="1:10" ht="135" x14ac:dyDescent="0.25">
      <c r="A2604" s="2" t="s">
        <v>55</v>
      </c>
      <c r="B2604" s="2">
        <v>327.47000000000003</v>
      </c>
      <c r="D2604" s="2" t="s">
        <v>2264</v>
      </c>
      <c r="E2604" s="2" t="s">
        <v>69</v>
      </c>
      <c r="F2604" s="3">
        <v>43872</v>
      </c>
      <c r="G2604" s="2" t="str">
        <f>"9780253046536"</f>
        <v>9780253046536</v>
      </c>
      <c r="H2604" s="2" t="s">
        <v>14</v>
      </c>
      <c r="I2604" s="4">
        <v>43896.484722222223</v>
      </c>
      <c r="J2604" s="2" t="s">
        <v>2265</v>
      </c>
    </row>
    <row r="2605" spans="1:10" ht="135" x14ac:dyDescent="0.25">
      <c r="A2605" s="2" t="s">
        <v>55</v>
      </c>
      <c r="B2605" s="2">
        <v>324.62309729999998</v>
      </c>
      <c r="C2605" s="2" t="s">
        <v>5458</v>
      </c>
      <c r="D2605" s="2" t="s">
        <v>5457</v>
      </c>
      <c r="E2605" s="2" t="s">
        <v>578</v>
      </c>
      <c r="F2605" s="3">
        <v>41695</v>
      </c>
      <c r="G2605" s="2" t="str">
        <f>"9780252095412"</f>
        <v>9780252095412</v>
      </c>
      <c r="H2605" s="2" t="s">
        <v>14</v>
      </c>
      <c r="I2605" s="4">
        <v>43597.7</v>
      </c>
      <c r="J2605" s="2" t="s">
        <v>5459</v>
      </c>
    </row>
    <row r="2606" spans="1:10" ht="135" x14ac:dyDescent="0.25">
      <c r="A2606" s="2" t="s">
        <v>55</v>
      </c>
      <c r="B2606" s="2">
        <v>327.5</v>
      </c>
      <c r="C2606" s="2" t="s">
        <v>2637</v>
      </c>
      <c r="D2606" s="2" t="s">
        <v>2636</v>
      </c>
      <c r="E2606" s="2" t="s">
        <v>54</v>
      </c>
      <c r="F2606" s="3">
        <v>43557</v>
      </c>
      <c r="G2606" s="2" t="str">
        <f>"9781503608801"</f>
        <v>9781503608801</v>
      </c>
      <c r="H2606" s="2" t="s">
        <v>14</v>
      </c>
      <c r="I2606" s="4">
        <v>43871.717361111114</v>
      </c>
      <c r="J2606" s="2" t="s">
        <v>2638</v>
      </c>
    </row>
    <row r="2607" spans="1:10" ht="150" x14ac:dyDescent="0.25">
      <c r="A2607" s="2" t="s">
        <v>55</v>
      </c>
      <c r="B2607" s="2">
        <v>320.9477</v>
      </c>
      <c r="C2607" s="2" t="s">
        <v>11731</v>
      </c>
      <c r="D2607" s="2" t="s">
        <v>11730</v>
      </c>
      <c r="E2607" s="2" t="s">
        <v>54</v>
      </c>
      <c r="F2607" s="3">
        <v>42620</v>
      </c>
      <c r="G2607" s="2" t="str">
        <f>"9781503600102"</f>
        <v>9781503600102</v>
      </c>
      <c r="H2607" s="2" t="s">
        <v>14</v>
      </c>
      <c r="I2607" s="4">
        <v>42905.618055555555</v>
      </c>
      <c r="J2607" s="2" t="s">
        <v>11732</v>
      </c>
    </row>
    <row r="2608" spans="1:10" ht="135" x14ac:dyDescent="0.25">
      <c r="A2608" s="2" t="s">
        <v>55</v>
      </c>
      <c r="B2608" s="2">
        <v>352.3</v>
      </c>
      <c r="C2608" s="2" t="s">
        <v>10643</v>
      </c>
      <c r="D2608" s="2" t="s">
        <v>10642</v>
      </c>
      <c r="E2608" s="2" t="s">
        <v>755</v>
      </c>
      <c r="F2608" s="3">
        <v>42549</v>
      </c>
      <c r="G2608" s="2" t="str">
        <f>"9781464808821"</f>
        <v>9781464808821</v>
      </c>
      <c r="H2608" s="2" t="s">
        <v>14</v>
      </c>
      <c r="I2608" s="4">
        <v>43045.269444444442</v>
      </c>
      <c r="J2608" s="2" t="s">
        <v>10644</v>
      </c>
    </row>
    <row r="2609" spans="1:10" ht="135" x14ac:dyDescent="0.25">
      <c r="A2609" s="2" t="s">
        <v>55</v>
      </c>
      <c r="B2609" s="2">
        <v>327.17470953999998</v>
      </c>
      <c r="C2609" s="2" t="s">
        <v>8393</v>
      </c>
      <c r="D2609" s="2" t="s">
        <v>8392</v>
      </c>
      <c r="E2609" s="2" t="s">
        <v>54</v>
      </c>
      <c r="F2609" s="3">
        <v>43228</v>
      </c>
      <c r="G2609" s="2" t="str">
        <f>"9781503606555"</f>
        <v>9781503606555</v>
      </c>
      <c r="H2609" s="2" t="s">
        <v>14</v>
      </c>
      <c r="I2609" s="4">
        <v>43313.7</v>
      </c>
      <c r="J2609" s="2" t="s">
        <v>8394</v>
      </c>
    </row>
    <row r="2610" spans="1:10" ht="135" x14ac:dyDescent="0.25">
      <c r="A2610" s="2" t="s">
        <v>55</v>
      </c>
      <c r="B2610" s="2">
        <v>323.09561000000002</v>
      </c>
      <c r="C2610" s="2" t="s">
        <v>4188</v>
      </c>
      <c r="D2610" s="2" t="s">
        <v>4187</v>
      </c>
      <c r="E2610" s="2" t="s">
        <v>54</v>
      </c>
      <c r="F2610" s="3">
        <v>43011</v>
      </c>
      <c r="G2610" s="2" t="str">
        <f>"9781503603394"</f>
        <v>9781503603394</v>
      </c>
      <c r="H2610" s="2" t="s">
        <v>14</v>
      </c>
      <c r="I2610" s="4">
        <v>43698.390277777777</v>
      </c>
      <c r="J2610" s="2" t="s">
        <v>4189</v>
      </c>
    </row>
    <row r="2611" spans="1:10" ht="135" x14ac:dyDescent="0.25">
      <c r="A2611" s="2" t="s">
        <v>55</v>
      </c>
      <c r="B2611" s="2">
        <v>327.73</v>
      </c>
      <c r="C2611" s="2" t="s">
        <v>2172</v>
      </c>
      <c r="D2611" s="2" t="s">
        <v>2171</v>
      </c>
      <c r="E2611" s="2" t="s">
        <v>268</v>
      </c>
      <c r="F2611" s="3">
        <v>39114</v>
      </c>
      <c r="G2611" s="2" t="str">
        <f>"9780815734109"</f>
        <v>9780815734109</v>
      </c>
      <c r="H2611" s="2" t="s">
        <v>14</v>
      </c>
      <c r="I2611" s="4">
        <v>43907.629166666666</v>
      </c>
      <c r="J2611" s="2" t="s">
        <v>2173</v>
      </c>
    </row>
    <row r="2612" spans="1:10" ht="135" x14ac:dyDescent="0.25">
      <c r="A2612" s="2" t="s">
        <v>55</v>
      </c>
      <c r="B2612" s="2">
        <v>327.51</v>
      </c>
      <c r="C2612" s="2" t="s">
        <v>12062</v>
      </c>
      <c r="D2612" s="2" t="s">
        <v>12061</v>
      </c>
      <c r="E2612" s="2" t="s">
        <v>4660</v>
      </c>
      <c r="F2612" s="3">
        <v>39954</v>
      </c>
      <c r="G2612" s="2" t="str">
        <f>"9780813150062"</f>
        <v>9780813150062</v>
      </c>
      <c r="H2612" s="2" t="s">
        <v>14</v>
      </c>
      <c r="I2612" s="4">
        <v>42856.431250000001</v>
      </c>
      <c r="J2612" s="2" t="s">
        <v>12063</v>
      </c>
    </row>
    <row r="2613" spans="1:10" ht="165" x14ac:dyDescent="0.25">
      <c r="A2613" s="2" t="s">
        <v>55</v>
      </c>
      <c r="B2613" s="2">
        <v>327.51</v>
      </c>
      <c r="C2613" s="2" t="s">
        <v>414</v>
      </c>
      <c r="D2613" s="2" t="s">
        <v>413</v>
      </c>
      <c r="E2613" s="2" t="s">
        <v>268</v>
      </c>
      <c r="F2613" s="3">
        <v>42885</v>
      </c>
      <c r="G2613" s="2" t="str">
        <f>"9780815729709"</f>
        <v>9780815729709</v>
      </c>
      <c r="H2613" s="2" t="s">
        <v>14</v>
      </c>
      <c r="I2613" s="4">
        <v>44026.091666666667</v>
      </c>
      <c r="J2613" s="2" t="s">
        <v>415</v>
      </c>
    </row>
    <row r="2614" spans="1:10" ht="135" x14ac:dyDescent="0.25">
      <c r="A2614" s="2" t="s">
        <v>55</v>
      </c>
      <c r="B2614" s="2">
        <v>320.96762000000001</v>
      </c>
      <c r="C2614" s="2" t="s">
        <v>3398</v>
      </c>
      <c r="D2614" s="2" t="s">
        <v>3397</v>
      </c>
      <c r="E2614" s="2" t="s">
        <v>2945</v>
      </c>
      <c r="F2614" s="3">
        <v>41609</v>
      </c>
      <c r="G2614" s="2" t="str">
        <f>"9789966028464"</f>
        <v>9789966028464</v>
      </c>
      <c r="H2614" s="2" t="s">
        <v>14</v>
      </c>
      <c r="I2614" s="4">
        <v>43785.476388888892</v>
      </c>
      <c r="J2614" s="2" t="s">
        <v>3399</v>
      </c>
    </row>
    <row r="2615" spans="1:10" ht="135" x14ac:dyDescent="0.25">
      <c r="A2615" s="2" t="s">
        <v>55</v>
      </c>
      <c r="D2615" s="2" t="s">
        <v>1455</v>
      </c>
      <c r="E2615" s="2" t="s">
        <v>627</v>
      </c>
      <c r="F2615" s="3">
        <v>43664</v>
      </c>
      <c r="G2615" s="2" t="str">
        <f>"9789633862216"</f>
        <v>9789633862216</v>
      </c>
      <c r="H2615" s="2" t="s">
        <v>14</v>
      </c>
      <c r="I2615" s="4">
        <v>43942.749305555553</v>
      </c>
      <c r="J2615" s="2" t="s">
        <v>1456</v>
      </c>
    </row>
    <row r="2616" spans="1:10" ht="150" x14ac:dyDescent="0.25">
      <c r="A2616" s="2" t="s">
        <v>55</v>
      </c>
      <c r="B2616" s="2">
        <v>323.04199999999997</v>
      </c>
      <c r="C2616" s="2" t="s">
        <v>11843</v>
      </c>
      <c r="D2616" s="2" t="s">
        <v>11842</v>
      </c>
      <c r="E2616" s="2" t="s">
        <v>328</v>
      </c>
      <c r="F2616" s="3">
        <v>41619</v>
      </c>
      <c r="G2616" s="2" t="str">
        <f>"9780739187111"</f>
        <v>9780739187111</v>
      </c>
      <c r="H2616" s="2" t="s">
        <v>14</v>
      </c>
      <c r="I2616" s="4">
        <v>42882.702777777777</v>
      </c>
      <c r="J2616" s="2" t="s">
        <v>11844</v>
      </c>
    </row>
    <row r="2617" spans="1:10" ht="135" x14ac:dyDescent="0.25">
      <c r="A2617" s="2" t="s">
        <v>55</v>
      </c>
      <c r="B2617" s="2">
        <v>320.96690000000001</v>
      </c>
      <c r="C2617" s="2" t="s">
        <v>4144</v>
      </c>
      <c r="D2617" s="2" t="s">
        <v>4143</v>
      </c>
      <c r="E2617" s="2" t="s">
        <v>310</v>
      </c>
      <c r="F2617" s="3">
        <v>42521</v>
      </c>
      <c r="G2617" s="2" t="str">
        <f>"9780815653677"</f>
        <v>9780815653677</v>
      </c>
      <c r="H2617" s="2" t="s">
        <v>14</v>
      </c>
      <c r="I2617" s="4">
        <v>43706.388194444444</v>
      </c>
      <c r="J2617" s="2" t="s">
        <v>4145</v>
      </c>
    </row>
    <row r="2618" spans="1:10" ht="135" x14ac:dyDescent="0.25">
      <c r="A2618" s="2" t="s">
        <v>55</v>
      </c>
      <c r="B2618" s="2">
        <v>322.50917240000001</v>
      </c>
      <c r="C2618" s="2" t="s">
        <v>9776</v>
      </c>
      <c r="D2618" s="2" t="s">
        <v>9775</v>
      </c>
      <c r="E2618" s="2" t="s">
        <v>328</v>
      </c>
      <c r="F2618" s="3">
        <v>41624</v>
      </c>
      <c r="G2618" s="2" t="str">
        <f>"9780739182819"</f>
        <v>9780739182819</v>
      </c>
      <c r="H2618" s="2" t="s">
        <v>14</v>
      </c>
      <c r="I2618" s="4">
        <v>43130.907638888886</v>
      </c>
      <c r="J2618" s="2" t="s">
        <v>9777</v>
      </c>
    </row>
    <row r="2619" spans="1:10" ht="135" x14ac:dyDescent="0.25">
      <c r="A2619" s="2" t="s">
        <v>55</v>
      </c>
      <c r="B2619" s="2">
        <v>320.12</v>
      </c>
      <c r="C2619" s="2" t="s">
        <v>7520</v>
      </c>
      <c r="D2619" s="2" t="s">
        <v>7519</v>
      </c>
      <c r="E2619" s="2" t="s">
        <v>54</v>
      </c>
      <c r="F2619" s="3">
        <v>42410</v>
      </c>
      <c r="G2619" s="2" t="str">
        <f>"9780804799508"</f>
        <v>9780804799508</v>
      </c>
      <c r="H2619" s="2" t="s">
        <v>14</v>
      </c>
      <c r="I2619" s="4">
        <v>43410.938194444447</v>
      </c>
      <c r="J2619" s="2" t="s">
        <v>7521</v>
      </c>
    </row>
    <row r="2620" spans="1:10" ht="135" x14ac:dyDescent="0.25">
      <c r="A2620" s="2" t="s">
        <v>55</v>
      </c>
      <c r="B2620" s="2">
        <v>325.30899240000002</v>
      </c>
      <c r="C2620" s="2" t="s">
        <v>9871</v>
      </c>
      <c r="D2620" s="2" t="s">
        <v>9870</v>
      </c>
      <c r="E2620" s="2" t="s">
        <v>69</v>
      </c>
      <c r="F2620" s="3">
        <v>42765</v>
      </c>
      <c r="G2620" s="2" t="str">
        <f>"9780253024626"</f>
        <v>9780253024626</v>
      </c>
      <c r="H2620" s="2" t="s">
        <v>14</v>
      </c>
      <c r="I2620" s="4">
        <v>43123.676388888889</v>
      </c>
      <c r="J2620" s="2" t="s">
        <v>9872</v>
      </c>
    </row>
    <row r="2621" spans="1:10" ht="135" x14ac:dyDescent="0.25">
      <c r="A2621" s="2" t="s">
        <v>55</v>
      </c>
      <c r="B2621" s="2" t="s">
        <v>4703</v>
      </c>
      <c r="C2621" s="2" t="s">
        <v>4704</v>
      </c>
      <c r="D2621" s="2" t="s">
        <v>4702</v>
      </c>
      <c r="E2621" s="2" t="s">
        <v>65</v>
      </c>
      <c r="F2621" s="3">
        <v>43388</v>
      </c>
      <c r="G2621" s="2" t="str">
        <f>"9780806163000"</f>
        <v>9780806163000</v>
      </c>
      <c r="H2621" s="2" t="s">
        <v>14</v>
      </c>
      <c r="I2621" s="4">
        <v>43635.770138888889</v>
      </c>
      <c r="J2621" s="2" t="s">
        <v>4705</v>
      </c>
    </row>
    <row r="2622" spans="1:10" ht="135" x14ac:dyDescent="0.25">
      <c r="A2622" s="2" t="s">
        <v>55</v>
      </c>
      <c r="B2622" s="2">
        <v>320.01</v>
      </c>
      <c r="C2622" s="2" t="s">
        <v>739</v>
      </c>
      <c r="D2622" s="2" t="s">
        <v>738</v>
      </c>
      <c r="E2622" s="2" t="s">
        <v>216</v>
      </c>
      <c r="F2622" s="3">
        <v>43770</v>
      </c>
      <c r="G2622" s="2" t="str">
        <f>"9781438476599"</f>
        <v>9781438476599</v>
      </c>
      <c r="H2622" s="2" t="s">
        <v>14</v>
      </c>
      <c r="I2622" s="4">
        <v>43994.409722222219</v>
      </c>
      <c r="J2622" s="2" t="s">
        <v>740</v>
      </c>
    </row>
    <row r="2623" spans="1:10" ht="135" x14ac:dyDescent="0.25">
      <c r="A2623" s="2" t="s">
        <v>55</v>
      </c>
      <c r="B2623" s="2" t="s">
        <v>9779</v>
      </c>
      <c r="C2623" s="2" t="s">
        <v>9780</v>
      </c>
      <c r="D2623" s="2" t="s">
        <v>9778</v>
      </c>
      <c r="E2623" s="2" t="s">
        <v>499</v>
      </c>
      <c r="F2623" s="3">
        <v>42038</v>
      </c>
      <c r="G2623" s="2" t="str">
        <f>"9781626161818"</f>
        <v>9781626161818</v>
      </c>
      <c r="H2623" s="2" t="s">
        <v>14</v>
      </c>
      <c r="I2623" s="4">
        <v>43130.902083333334</v>
      </c>
      <c r="J2623" s="2" t="s">
        <v>9781</v>
      </c>
    </row>
    <row r="2624" spans="1:10" ht="135" x14ac:dyDescent="0.25">
      <c r="A2624" s="2" t="s">
        <v>55</v>
      </c>
      <c r="B2624" s="2" t="s">
        <v>3059</v>
      </c>
      <c r="C2624" s="2" t="s">
        <v>3060</v>
      </c>
      <c r="D2624" s="2" t="s">
        <v>3058</v>
      </c>
      <c r="E2624" s="2" t="s">
        <v>54</v>
      </c>
      <c r="F2624" s="3">
        <v>42571</v>
      </c>
      <c r="G2624" s="2" t="str">
        <f>"9780804799614"</f>
        <v>9780804799614</v>
      </c>
      <c r="H2624" s="2" t="s">
        <v>14</v>
      </c>
      <c r="I2624" s="4">
        <v>43819.625</v>
      </c>
      <c r="J2624" s="2" t="s">
        <v>3061</v>
      </c>
    </row>
    <row r="2625" spans="1:10" ht="135" x14ac:dyDescent="0.25">
      <c r="A2625" s="2" t="s">
        <v>55</v>
      </c>
      <c r="D2625" s="2" t="s">
        <v>238</v>
      </c>
      <c r="E2625" s="2" t="s">
        <v>54</v>
      </c>
      <c r="F2625" s="3">
        <v>44068</v>
      </c>
      <c r="G2625" s="2" t="str">
        <f>"9781503612709"</f>
        <v>9781503612709</v>
      </c>
      <c r="H2625" s="2" t="s">
        <v>14</v>
      </c>
      <c r="I2625" s="4">
        <v>44051.722222222219</v>
      </c>
      <c r="J2625" s="2" t="s">
        <v>239</v>
      </c>
    </row>
    <row r="2626" spans="1:10" ht="240" x14ac:dyDescent="0.25">
      <c r="A2626" s="2" t="s">
        <v>55</v>
      </c>
      <c r="D2626" s="2" t="s">
        <v>474</v>
      </c>
      <c r="E2626" s="2" t="s">
        <v>212</v>
      </c>
      <c r="F2626" s="3">
        <v>43875</v>
      </c>
      <c r="G2626" s="2" t="str">
        <f>"9789956551989"</f>
        <v>9789956551989</v>
      </c>
      <c r="H2626" s="2" t="s">
        <v>14</v>
      </c>
      <c r="I2626" s="4">
        <v>44020.79791666667</v>
      </c>
      <c r="J2626" s="2" t="s">
        <v>475</v>
      </c>
    </row>
    <row r="2627" spans="1:10" ht="135" x14ac:dyDescent="0.25">
      <c r="A2627" s="2" t="s">
        <v>55</v>
      </c>
      <c r="B2627" s="2">
        <v>321.8</v>
      </c>
      <c r="C2627" s="2" t="s">
        <v>8217</v>
      </c>
      <c r="D2627" s="2" t="s">
        <v>8216</v>
      </c>
      <c r="E2627" s="2" t="s">
        <v>77</v>
      </c>
      <c r="F2627" s="3">
        <v>42985</v>
      </c>
      <c r="G2627" s="2" t="str">
        <f>"9781786072900"</f>
        <v>9781786072900</v>
      </c>
      <c r="H2627" s="2" t="s">
        <v>14</v>
      </c>
      <c r="I2627" s="4">
        <v>43335.677777777775</v>
      </c>
      <c r="J2627" s="2" t="s">
        <v>8218</v>
      </c>
    </row>
    <row r="2628" spans="1:10" ht="135" x14ac:dyDescent="0.25">
      <c r="A2628" s="2" t="s">
        <v>55</v>
      </c>
      <c r="B2628" s="2">
        <v>320.96199999999999</v>
      </c>
      <c r="C2628" s="2" t="s">
        <v>8154</v>
      </c>
      <c r="D2628" s="2" t="s">
        <v>8152</v>
      </c>
      <c r="E2628" s="2" t="s">
        <v>8153</v>
      </c>
      <c r="F2628" s="3">
        <v>42004</v>
      </c>
      <c r="G2628" s="2" t="str">
        <f>"9781634635615"</f>
        <v>9781634635615</v>
      </c>
      <c r="H2628" s="2" t="s">
        <v>14</v>
      </c>
      <c r="I2628" s="4">
        <v>43347.417361111111</v>
      </c>
      <c r="J2628" s="2" t="s">
        <v>8155</v>
      </c>
    </row>
    <row r="2629" spans="1:10" ht="135" x14ac:dyDescent="0.25">
      <c r="A2629" s="2" t="s">
        <v>55</v>
      </c>
      <c r="B2629" s="2">
        <v>321.8</v>
      </c>
      <c r="C2629" s="2" t="s">
        <v>11910</v>
      </c>
      <c r="D2629" s="2" t="s">
        <v>11909</v>
      </c>
      <c r="E2629" s="2" t="s">
        <v>1698</v>
      </c>
      <c r="F2629" s="3">
        <v>41695</v>
      </c>
      <c r="G2629" s="2" t="str">
        <f>"9780674726383"</f>
        <v>9780674726383</v>
      </c>
      <c r="H2629" s="2" t="s">
        <v>14</v>
      </c>
      <c r="I2629" s="4">
        <v>42872.602083333331</v>
      </c>
      <c r="J2629" s="2" t="s">
        <v>11911</v>
      </c>
    </row>
    <row r="2630" spans="1:10" ht="135" x14ac:dyDescent="0.25">
      <c r="A2630" s="2" t="s">
        <v>55</v>
      </c>
      <c r="B2630" s="2">
        <v>320.98099999999999</v>
      </c>
      <c r="C2630" s="2" t="s">
        <v>7314</v>
      </c>
      <c r="D2630" s="2" t="s">
        <v>7313</v>
      </c>
      <c r="E2630" s="2" t="s">
        <v>397</v>
      </c>
      <c r="F2630" s="3">
        <v>43021</v>
      </c>
      <c r="G2630" s="2" t="str">
        <f>"9780822982906"</f>
        <v>9780822982906</v>
      </c>
      <c r="H2630" s="2" t="s">
        <v>14</v>
      </c>
      <c r="I2630" s="4">
        <v>43425.665972222225</v>
      </c>
      <c r="J2630" s="2" t="s">
        <v>7315</v>
      </c>
    </row>
    <row r="2631" spans="1:10" ht="150" x14ac:dyDescent="0.25">
      <c r="A2631" s="2" t="s">
        <v>55</v>
      </c>
      <c r="B2631" s="2" t="s">
        <v>5432</v>
      </c>
      <c r="C2631" s="2" t="s">
        <v>5433</v>
      </c>
      <c r="D2631" s="2" t="s">
        <v>5431</v>
      </c>
      <c r="E2631" s="2" t="s">
        <v>216</v>
      </c>
      <c r="F2631" s="3">
        <v>38057</v>
      </c>
      <c r="G2631" s="2" t="str">
        <f>"9780791485927"</f>
        <v>9780791485927</v>
      </c>
      <c r="H2631" s="2" t="s">
        <v>14</v>
      </c>
      <c r="I2631" s="4">
        <v>43599.526388888888</v>
      </c>
      <c r="J2631" s="2" t="s">
        <v>5434</v>
      </c>
    </row>
    <row r="2632" spans="1:10" ht="165" x14ac:dyDescent="0.25">
      <c r="A2632" s="2" t="s">
        <v>55</v>
      </c>
      <c r="B2632" s="2">
        <v>327.73</v>
      </c>
      <c r="C2632" s="2" t="s">
        <v>9208</v>
      </c>
      <c r="D2632" s="2" t="s">
        <v>9207</v>
      </c>
      <c r="E2632" s="2" t="s">
        <v>180</v>
      </c>
      <c r="F2632" s="3">
        <v>41915</v>
      </c>
      <c r="G2632" s="2" t="str">
        <f>"9781479811786"</f>
        <v>9781479811786</v>
      </c>
      <c r="H2632" s="2" t="s">
        <v>14</v>
      </c>
      <c r="I2632" s="4">
        <v>43199.677777777775</v>
      </c>
      <c r="J2632" s="2" t="s">
        <v>9209</v>
      </c>
    </row>
    <row r="2633" spans="1:10" ht="150" x14ac:dyDescent="0.25">
      <c r="A2633" s="2" t="s">
        <v>55</v>
      </c>
      <c r="B2633" s="2">
        <v>327.209</v>
      </c>
      <c r="C2633" s="2" t="s">
        <v>2470</v>
      </c>
      <c r="D2633" s="2" t="s">
        <v>2468</v>
      </c>
      <c r="E2633" s="2" t="s">
        <v>2469</v>
      </c>
      <c r="F2633" s="3">
        <v>43784</v>
      </c>
      <c r="G2633" s="2" t="str">
        <f>"9783990127698"</f>
        <v>9783990127698</v>
      </c>
      <c r="H2633" s="2" t="s">
        <v>14</v>
      </c>
      <c r="I2633" s="4">
        <v>43882.959722222222</v>
      </c>
      <c r="J2633" s="2" t="s">
        <v>2471</v>
      </c>
    </row>
    <row r="2634" spans="1:10" ht="150" x14ac:dyDescent="0.25">
      <c r="A2634" s="2" t="s">
        <v>55</v>
      </c>
      <c r="B2634" s="2" t="s">
        <v>12808</v>
      </c>
      <c r="C2634" s="2" t="s">
        <v>12809</v>
      </c>
      <c r="D2634" s="2" t="s">
        <v>12807</v>
      </c>
      <c r="E2634" s="2" t="s">
        <v>6704</v>
      </c>
      <c r="F2634" s="3">
        <v>41943</v>
      </c>
      <c r="G2634" s="2" t="str">
        <f>"9780801455063"</f>
        <v>9780801455063</v>
      </c>
      <c r="H2634" s="2" t="s">
        <v>14</v>
      </c>
      <c r="I2634" s="4">
        <v>42772.506249999999</v>
      </c>
      <c r="J2634" s="2" t="s">
        <v>12810</v>
      </c>
    </row>
    <row r="2635" spans="1:10" ht="135" x14ac:dyDescent="0.25">
      <c r="A2635" s="2" t="s">
        <v>55</v>
      </c>
      <c r="B2635" s="2">
        <v>320.51097299999998</v>
      </c>
      <c r="C2635" s="2" t="s">
        <v>5877</v>
      </c>
      <c r="D2635" s="2" t="s">
        <v>5876</v>
      </c>
      <c r="E2635" s="2" t="s">
        <v>216</v>
      </c>
      <c r="F2635" s="3">
        <v>42125</v>
      </c>
      <c r="G2635" s="2" t="str">
        <f>"9781438455754"</f>
        <v>9781438455754</v>
      </c>
      <c r="H2635" s="2" t="s">
        <v>14</v>
      </c>
      <c r="I2635" s="4">
        <v>43563.469444444447</v>
      </c>
      <c r="J2635" s="2" t="s">
        <v>5878</v>
      </c>
    </row>
    <row r="2636" spans="1:10" ht="135" x14ac:dyDescent="0.25">
      <c r="A2636" s="2" t="s">
        <v>55</v>
      </c>
      <c r="B2636" s="2" t="s">
        <v>9086</v>
      </c>
      <c r="C2636" s="2" t="s">
        <v>9087</v>
      </c>
      <c r="D2636" s="2" t="s">
        <v>9085</v>
      </c>
      <c r="E2636" s="2" t="s">
        <v>65</v>
      </c>
      <c r="F2636" s="3">
        <v>42024</v>
      </c>
      <c r="G2636" s="2" t="str">
        <f>"9780806149424"</f>
        <v>9780806149424</v>
      </c>
      <c r="H2636" s="2" t="s">
        <v>14</v>
      </c>
      <c r="I2636" s="4">
        <v>43219.04791666667</v>
      </c>
      <c r="J2636" s="2" t="s">
        <v>9088</v>
      </c>
    </row>
    <row r="2637" spans="1:10" ht="150" x14ac:dyDescent="0.25">
      <c r="A2637" s="2" t="s">
        <v>55</v>
      </c>
      <c r="B2637" s="2">
        <v>320.47300000000001</v>
      </c>
      <c r="C2637" s="2" t="s">
        <v>9591</v>
      </c>
      <c r="D2637" s="2" t="s">
        <v>9590</v>
      </c>
      <c r="E2637" s="2" t="s">
        <v>328</v>
      </c>
      <c r="F2637" s="3">
        <v>41624</v>
      </c>
      <c r="G2637" s="2" t="str">
        <f>"9780739184370"</f>
        <v>9780739184370</v>
      </c>
      <c r="H2637" s="2" t="s">
        <v>14</v>
      </c>
      <c r="I2637" s="4">
        <v>43148.793749999997</v>
      </c>
      <c r="J2637" s="2" t="s">
        <v>9592</v>
      </c>
    </row>
    <row r="2638" spans="1:10" ht="135" x14ac:dyDescent="0.25">
      <c r="A2638" s="2" t="s">
        <v>55</v>
      </c>
      <c r="B2638" s="2">
        <v>320.44704899999999</v>
      </c>
      <c r="C2638" s="2" t="s">
        <v>4775</v>
      </c>
      <c r="D2638" s="2" t="s">
        <v>4774</v>
      </c>
      <c r="E2638" s="2" t="s">
        <v>627</v>
      </c>
      <c r="F2638" s="3">
        <v>43565</v>
      </c>
      <c r="G2638" s="2" t="str">
        <f>"9789633862865"</f>
        <v>9789633862865</v>
      </c>
      <c r="H2638" s="2" t="s">
        <v>14</v>
      </c>
      <c r="I2638" s="4">
        <v>43628.26666666667</v>
      </c>
      <c r="J2638" s="2" t="s">
        <v>4776</v>
      </c>
    </row>
    <row r="2639" spans="1:10" ht="135" x14ac:dyDescent="0.25">
      <c r="A2639" s="2" t="s">
        <v>55</v>
      </c>
      <c r="D2639" s="2" t="s">
        <v>1923</v>
      </c>
      <c r="E2639" s="2" t="s">
        <v>268</v>
      </c>
      <c r="F2639" s="3">
        <v>43865</v>
      </c>
      <c r="G2639" s="2" t="str">
        <f>"9780815737728"</f>
        <v>9780815737728</v>
      </c>
      <c r="H2639" s="2" t="s">
        <v>14</v>
      </c>
      <c r="I2639" s="4">
        <v>43920.88958333333</v>
      </c>
      <c r="J2639" s="2" t="s">
        <v>1924</v>
      </c>
    </row>
    <row r="2640" spans="1:10" ht="135" x14ac:dyDescent="0.25">
      <c r="A2640" s="2" t="s">
        <v>55</v>
      </c>
      <c r="B2640" s="2" t="s">
        <v>7053</v>
      </c>
      <c r="C2640" s="2" t="s">
        <v>4569</v>
      </c>
      <c r="D2640" s="2" t="s">
        <v>7052</v>
      </c>
      <c r="E2640" s="2" t="s">
        <v>578</v>
      </c>
      <c r="F2640" s="3">
        <v>42202</v>
      </c>
      <c r="G2640" s="2" t="str">
        <f>"9780252097539"</f>
        <v>9780252097539</v>
      </c>
      <c r="H2640" s="2" t="s">
        <v>14</v>
      </c>
      <c r="I2640" s="4">
        <v>43454.587500000001</v>
      </c>
      <c r="J2640" s="2" t="s">
        <v>7054</v>
      </c>
    </row>
    <row r="2641" spans="1:10" ht="135" x14ac:dyDescent="0.25">
      <c r="A2641" s="2" t="s">
        <v>55</v>
      </c>
      <c r="B2641" s="2">
        <v>320.01</v>
      </c>
      <c r="C2641" s="2" t="s">
        <v>5265</v>
      </c>
      <c r="D2641" s="2" t="s">
        <v>5264</v>
      </c>
      <c r="E2641" s="2" t="s">
        <v>216</v>
      </c>
      <c r="F2641" s="3">
        <v>43101</v>
      </c>
      <c r="G2641" s="2" t="str">
        <f>"9781438467627"</f>
        <v>9781438467627</v>
      </c>
      <c r="H2641" s="2" t="s">
        <v>14</v>
      </c>
      <c r="I2641" s="4">
        <v>43606.597222222219</v>
      </c>
      <c r="J2641" s="2" t="s">
        <v>5266</v>
      </c>
    </row>
    <row r="2642" spans="1:10" ht="165" x14ac:dyDescent="0.25">
      <c r="A2642" s="2" t="s">
        <v>55</v>
      </c>
      <c r="B2642" s="2">
        <v>324.2040968</v>
      </c>
      <c r="C2642" s="2" t="s">
        <v>12050</v>
      </c>
      <c r="D2642" s="2" t="s">
        <v>12049</v>
      </c>
      <c r="E2642" s="2" t="s">
        <v>4921</v>
      </c>
      <c r="F2642" s="3">
        <v>41091</v>
      </c>
      <c r="G2642" s="2" t="str">
        <f>"9781920516635"</f>
        <v>9781920516635</v>
      </c>
      <c r="H2642" s="2" t="s">
        <v>14</v>
      </c>
      <c r="I2642" s="4">
        <v>42858.425694444442</v>
      </c>
      <c r="J2642" s="2" t="s">
        <v>12051</v>
      </c>
    </row>
    <row r="2643" spans="1:10" ht="165" x14ac:dyDescent="0.25">
      <c r="A2643" s="2" t="s">
        <v>55</v>
      </c>
      <c r="B2643" s="2">
        <v>320.96800000000002</v>
      </c>
      <c r="C2643" s="2" t="s">
        <v>5101</v>
      </c>
      <c r="D2643" s="2" t="s">
        <v>5100</v>
      </c>
      <c r="E2643" s="2" t="s">
        <v>4921</v>
      </c>
      <c r="F2643" s="3">
        <v>42916</v>
      </c>
      <c r="G2643" s="2" t="str">
        <f>"9781775822288"</f>
        <v>9781775822288</v>
      </c>
      <c r="H2643" s="2" t="s">
        <v>14</v>
      </c>
      <c r="I2643" s="4">
        <v>43610.90347222222</v>
      </c>
      <c r="J2643" s="2" t="s">
        <v>5102</v>
      </c>
    </row>
    <row r="2644" spans="1:10" ht="135" x14ac:dyDescent="0.25">
      <c r="A2644" s="2" t="s">
        <v>55</v>
      </c>
      <c r="B2644" s="2">
        <v>325.30900000000003</v>
      </c>
      <c r="C2644" s="2" t="s">
        <v>5167</v>
      </c>
      <c r="D2644" s="2" t="s">
        <v>5166</v>
      </c>
      <c r="E2644" s="2" t="s">
        <v>130</v>
      </c>
      <c r="F2644" s="3">
        <v>42927</v>
      </c>
      <c r="G2644" s="2" t="str">
        <f>"9780813052809"</f>
        <v>9780813052809</v>
      </c>
      <c r="H2644" s="2" t="s">
        <v>14</v>
      </c>
      <c r="I2644" s="4">
        <v>43608.961805555555</v>
      </c>
      <c r="J2644" s="2" t="s">
        <v>5168</v>
      </c>
    </row>
    <row r="2645" spans="1:10" ht="135" x14ac:dyDescent="0.25">
      <c r="A2645" s="2" t="s">
        <v>55</v>
      </c>
      <c r="B2645" s="2">
        <v>327.101</v>
      </c>
      <c r="C2645" s="2" t="s">
        <v>8893</v>
      </c>
      <c r="D2645" s="2" t="s">
        <v>8892</v>
      </c>
      <c r="E2645" s="2" t="s">
        <v>665</v>
      </c>
      <c r="F2645" s="3">
        <v>41325</v>
      </c>
      <c r="G2645" s="2" t="str">
        <f>"9781849648394"</f>
        <v>9781849648394</v>
      </c>
      <c r="H2645" s="2" t="s">
        <v>14</v>
      </c>
      <c r="I2645" s="4">
        <v>43242.488194444442</v>
      </c>
      <c r="J2645" s="2" t="s">
        <v>8894</v>
      </c>
    </row>
    <row r="2646" spans="1:10" ht="135" x14ac:dyDescent="0.25">
      <c r="A2646" s="2" t="s">
        <v>55</v>
      </c>
      <c r="B2646" s="2">
        <v>327.10000000000002</v>
      </c>
      <c r="C2646" s="2" t="s">
        <v>10687</v>
      </c>
      <c r="D2646" s="2" t="s">
        <v>10686</v>
      </c>
      <c r="E2646" s="2" t="s">
        <v>69</v>
      </c>
      <c r="F2646" s="3">
        <v>42333</v>
      </c>
      <c r="G2646" s="2" t="str">
        <f>"9780253018731"</f>
        <v>9780253018731</v>
      </c>
      <c r="H2646" s="2" t="s">
        <v>14</v>
      </c>
      <c r="I2646" s="4">
        <v>43042.719444444447</v>
      </c>
      <c r="J2646" s="2" t="s">
        <v>10688</v>
      </c>
    </row>
    <row r="2647" spans="1:10" ht="135" x14ac:dyDescent="0.25">
      <c r="A2647" s="2" t="s">
        <v>55</v>
      </c>
      <c r="B2647" s="2" t="s">
        <v>7758</v>
      </c>
      <c r="C2647" s="2" t="s">
        <v>7759</v>
      </c>
      <c r="D2647" s="2" t="s">
        <v>7757</v>
      </c>
      <c r="E2647" s="2" t="s">
        <v>69</v>
      </c>
      <c r="F2647" s="3">
        <v>41726</v>
      </c>
      <c r="G2647" s="2" t="str">
        <f>"9780253011756"</f>
        <v>9780253011756</v>
      </c>
      <c r="H2647" s="2" t="s">
        <v>14</v>
      </c>
      <c r="I2647" s="4">
        <v>43391.67291666667</v>
      </c>
      <c r="J2647" s="2" t="s">
        <v>7760</v>
      </c>
    </row>
    <row r="2648" spans="1:10" ht="135" x14ac:dyDescent="0.25">
      <c r="A2648" s="2" t="s">
        <v>55</v>
      </c>
      <c r="B2648" s="2" t="s">
        <v>11617</v>
      </c>
      <c r="C2648" s="2" t="s">
        <v>11618</v>
      </c>
      <c r="D2648" s="2" t="s">
        <v>11616</v>
      </c>
      <c r="E2648" s="2" t="s">
        <v>235</v>
      </c>
      <c r="F2648" s="3">
        <v>42318</v>
      </c>
      <c r="G2648" s="2" t="str">
        <f>"9781440831355"</f>
        <v>9781440831355</v>
      </c>
      <c r="H2648" s="2" t="s">
        <v>14</v>
      </c>
      <c r="I2648" s="4">
        <v>42920.90625</v>
      </c>
      <c r="J2648" s="2" t="s">
        <v>11619</v>
      </c>
    </row>
    <row r="2649" spans="1:10" ht="135" x14ac:dyDescent="0.25">
      <c r="A2649" s="2" t="s">
        <v>55</v>
      </c>
      <c r="B2649" s="2">
        <v>324.256920842</v>
      </c>
      <c r="C2649" s="2" t="s">
        <v>11621</v>
      </c>
      <c r="D2649" s="2" t="s">
        <v>11620</v>
      </c>
      <c r="E2649" s="2" t="s">
        <v>499</v>
      </c>
      <c r="F2649" s="3">
        <v>42103</v>
      </c>
      <c r="G2649" s="2" t="str">
        <f>"9781626162020"</f>
        <v>9781626162020</v>
      </c>
      <c r="H2649" s="2" t="s">
        <v>14</v>
      </c>
      <c r="I2649" s="4">
        <v>42920.90347222222</v>
      </c>
      <c r="J2649" s="2" t="s">
        <v>11622</v>
      </c>
    </row>
    <row r="2650" spans="1:10" ht="135" x14ac:dyDescent="0.25">
      <c r="A2650" s="2" t="s">
        <v>55</v>
      </c>
      <c r="B2650" s="2" t="s">
        <v>4561</v>
      </c>
      <c r="C2650" s="2" t="s">
        <v>4562</v>
      </c>
      <c r="D2650" s="2" t="s">
        <v>4560</v>
      </c>
      <c r="E2650" s="2" t="s">
        <v>58</v>
      </c>
      <c r="F2650" s="3">
        <v>42213</v>
      </c>
      <c r="G2650" s="2" t="str">
        <f>"9780299304638"</f>
        <v>9780299304638</v>
      </c>
      <c r="H2650" s="2" t="s">
        <v>14</v>
      </c>
      <c r="I2650" s="4">
        <v>43647.948611111111</v>
      </c>
      <c r="J2650" s="2" t="s">
        <v>4563</v>
      </c>
    </row>
    <row r="2651" spans="1:10" ht="135" x14ac:dyDescent="0.25">
      <c r="A2651" s="2" t="s">
        <v>55</v>
      </c>
      <c r="B2651" s="2">
        <v>327.51</v>
      </c>
      <c r="C2651" s="2" t="s">
        <v>1673</v>
      </c>
      <c r="D2651" s="2" t="s">
        <v>1672</v>
      </c>
      <c r="E2651" s="2" t="s">
        <v>1017</v>
      </c>
      <c r="F2651" s="3">
        <v>43405</v>
      </c>
      <c r="G2651" s="2" t="str">
        <f>"9781640121355"</f>
        <v>9781640121355</v>
      </c>
      <c r="H2651" s="2" t="s">
        <v>14</v>
      </c>
      <c r="I2651" s="4">
        <v>43933.871527777781</v>
      </c>
      <c r="J2651" s="2" t="s">
        <v>1674</v>
      </c>
    </row>
    <row r="2652" spans="1:10" ht="135" x14ac:dyDescent="0.25">
      <c r="A2652" s="2" t="s">
        <v>55</v>
      </c>
      <c r="B2652" s="2">
        <v>323</v>
      </c>
      <c r="C2652" s="2" t="s">
        <v>8899</v>
      </c>
      <c r="D2652" s="2" t="s">
        <v>8898</v>
      </c>
      <c r="E2652" s="2" t="s">
        <v>216</v>
      </c>
      <c r="F2652" s="3">
        <v>42383</v>
      </c>
      <c r="G2652" s="2" t="str">
        <f>"9781438459417"</f>
        <v>9781438459417</v>
      </c>
      <c r="H2652" s="2" t="s">
        <v>14</v>
      </c>
      <c r="I2652" s="4">
        <v>43241.711805555555</v>
      </c>
      <c r="J2652" s="2" t="s">
        <v>8900</v>
      </c>
    </row>
    <row r="2653" spans="1:10" ht="135" x14ac:dyDescent="0.25">
      <c r="A2653" s="2" t="s">
        <v>55</v>
      </c>
      <c r="B2653" s="2" t="s">
        <v>4525</v>
      </c>
      <c r="C2653" s="2" t="s">
        <v>4526</v>
      </c>
      <c r="D2653" s="2" t="s">
        <v>4524</v>
      </c>
      <c r="E2653" s="2" t="s">
        <v>216</v>
      </c>
      <c r="F2653" s="3">
        <v>41944</v>
      </c>
      <c r="G2653" s="2" t="str">
        <f>"9781438453125"</f>
        <v>9781438453125</v>
      </c>
      <c r="H2653" s="2" t="s">
        <v>14</v>
      </c>
      <c r="I2653" s="4">
        <v>43654.53125</v>
      </c>
      <c r="J2653" s="2" t="s">
        <v>4527</v>
      </c>
    </row>
    <row r="2654" spans="1:10" ht="150" x14ac:dyDescent="0.25">
      <c r="A2654" s="2" t="s">
        <v>55</v>
      </c>
      <c r="B2654" s="2" t="s">
        <v>3808</v>
      </c>
      <c r="C2654" s="2" t="s">
        <v>3809</v>
      </c>
      <c r="D2654" s="2" t="s">
        <v>3806</v>
      </c>
      <c r="E2654" s="2" t="s">
        <v>3807</v>
      </c>
      <c r="F2654" s="3">
        <v>42002</v>
      </c>
      <c r="G2654" s="2" t="str">
        <f>"9780774826815"</f>
        <v>9780774826815</v>
      </c>
      <c r="H2654" s="2" t="s">
        <v>14</v>
      </c>
      <c r="I2654" s="4">
        <v>43754.627083333333</v>
      </c>
      <c r="J2654" s="2" t="s">
        <v>3810</v>
      </c>
    </row>
    <row r="2655" spans="1:10" ht="135" x14ac:dyDescent="0.25">
      <c r="A2655" s="2" t="s">
        <v>55</v>
      </c>
      <c r="B2655" s="2">
        <v>325.73</v>
      </c>
      <c r="C2655" s="2" t="s">
        <v>3699</v>
      </c>
      <c r="D2655" s="2" t="s">
        <v>3698</v>
      </c>
      <c r="E2655" s="2" t="s">
        <v>180</v>
      </c>
      <c r="F2655" s="3">
        <v>42752</v>
      </c>
      <c r="G2655" s="2" t="str">
        <f>"9781479811151"</f>
        <v>9781479811151</v>
      </c>
      <c r="H2655" s="2" t="s">
        <v>14</v>
      </c>
      <c r="I2655" s="4">
        <v>43764.440972222219</v>
      </c>
      <c r="J2655" s="2" t="s">
        <v>3700</v>
      </c>
    </row>
    <row r="2656" spans="1:10" ht="135" x14ac:dyDescent="0.25">
      <c r="A2656" s="2" t="s">
        <v>55</v>
      </c>
      <c r="B2656" s="2">
        <v>327.17200000000003</v>
      </c>
      <c r="C2656" s="2" t="s">
        <v>8739</v>
      </c>
      <c r="D2656" s="2" t="s">
        <v>8738</v>
      </c>
      <c r="E2656" s="2" t="s">
        <v>69</v>
      </c>
      <c r="F2656" s="3">
        <v>42765</v>
      </c>
      <c r="G2656" s="2" t="str">
        <f>"9780253023902"</f>
        <v>9780253023902</v>
      </c>
      <c r="H2656" s="2" t="s">
        <v>14</v>
      </c>
      <c r="I2656" s="4">
        <v>43258.976388888892</v>
      </c>
      <c r="J2656" s="2" t="s">
        <v>8740</v>
      </c>
    </row>
    <row r="2657" spans="1:10" ht="135" x14ac:dyDescent="0.25">
      <c r="A2657" s="2" t="s">
        <v>55</v>
      </c>
      <c r="B2657" s="2">
        <v>327.52</v>
      </c>
      <c r="C2657" s="2" t="s">
        <v>6052</v>
      </c>
      <c r="D2657" s="2" t="s">
        <v>6051</v>
      </c>
      <c r="E2657" s="2" t="s">
        <v>216</v>
      </c>
      <c r="F2657" s="3">
        <v>42064</v>
      </c>
      <c r="G2657" s="2" t="str">
        <f>"9781438454993"</f>
        <v>9781438454993</v>
      </c>
      <c r="H2657" s="2" t="s">
        <v>14</v>
      </c>
      <c r="I2657" s="4">
        <v>43544.684027777781</v>
      </c>
      <c r="J2657" s="2" t="s">
        <v>6053</v>
      </c>
    </row>
    <row r="2658" spans="1:10" ht="180" x14ac:dyDescent="0.25">
      <c r="A2658" s="2" t="s">
        <v>55</v>
      </c>
      <c r="B2658" s="2">
        <v>320</v>
      </c>
      <c r="C2658" s="2" t="s">
        <v>265</v>
      </c>
      <c r="D2658" s="2" t="s">
        <v>264</v>
      </c>
      <c r="E2658" s="2" t="s">
        <v>37</v>
      </c>
      <c r="F2658" s="3">
        <v>42984</v>
      </c>
      <c r="G2658" s="2" t="str">
        <f>"9783319630946"</f>
        <v>9783319630946</v>
      </c>
      <c r="H2658" s="2" t="s">
        <v>14</v>
      </c>
      <c r="I2658" s="4">
        <v>44049.375</v>
      </c>
      <c r="J2658" s="2" t="s">
        <v>266</v>
      </c>
    </row>
    <row r="2659" spans="1:10" ht="135" x14ac:dyDescent="0.25">
      <c r="A2659" s="2" t="s">
        <v>55</v>
      </c>
      <c r="B2659" s="2">
        <v>324.96762042</v>
      </c>
      <c r="C2659" s="2" t="s">
        <v>3395</v>
      </c>
      <c r="D2659" s="2" t="s">
        <v>3394</v>
      </c>
      <c r="E2659" s="2" t="s">
        <v>2945</v>
      </c>
      <c r="F2659" s="3">
        <v>42186</v>
      </c>
      <c r="G2659" s="2" t="str">
        <f>"9789966028723"</f>
        <v>9789966028723</v>
      </c>
      <c r="H2659" s="2" t="s">
        <v>14</v>
      </c>
      <c r="I2659" s="4">
        <v>43785.664583333331</v>
      </c>
      <c r="J2659" s="2" t="s">
        <v>3396</v>
      </c>
    </row>
    <row r="2660" spans="1:10" ht="135" x14ac:dyDescent="0.25">
      <c r="A2660" s="2" t="s">
        <v>55</v>
      </c>
      <c r="B2660" s="2">
        <v>320.60973000000001</v>
      </c>
      <c r="C2660" s="2" t="s">
        <v>1902</v>
      </c>
      <c r="D2660" s="2" t="s">
        <v>1901</v>
      </c>
      <c r="E2660" s="2" t="s">
        <v>585</v>
      </c>
      <c r="F2660" s="3">
        <v>40026</v>
      </c>
      <c r="G2660" s="2" t="str">
        <f>"9780226039466"</f>
        <v>9780226039466</v>
      </c>
      <c r="H2660" s="2" t="s">
        <v>14</v>
      </c>
      <c r="I2660" s="4">
        <v>43922.529861111114</v>
      </c>
      <c r="J2660" s="2" t="s">
        <v>1903</v>
      </c>
    </row>
    <row r="2661" spans="1:10" ht="135" x14ac:dyDescent="0.25">
      <c r="A2661" s="2" t="s">
        <v>55</v>
      </c>
      <c r="B2661" s="2" t="s">
        <v>3288</v>
      </c>
      <c r="C2661" s="2" t="s">
        <v>3289</v>
      </c>
      <c r="D2661" s="2" t="s">
        <v>3287</v>
      </c>
      <c r="E2661" s="2" t="s">
        <v>460</v>
      </c>
      <c r="F2661" s="3">
        <v>42188</v>
      </c>
      <c r="G2661" s="2" t="str">
        <f>"9780773597280"</f>
        <v>9780773597280</v>
      </c>
      <c r="H2661" s="2" t="s">
        <v>14</v>
      </c>
      <c r="I2661" s="4">
        <v>43792.67083333333</v>
      </c>
      <c r="J2661" s="2" t="s">
        <v>3290</v>
      </c>
    </row>
    <row r="2662" spans="1:10" ht="135" x14ac:dyDescent="0.25">
      <c r="A2662" s="2" t="s">
        <v>55</v>
      </c>
      <c r="B2662" s="2">
        <v>327.101</v>
      </c>
      <c r="C2662" s="2" t="s">
        <v>12910</v>
      </c>
      <c r="D2662" s="2" t="s">
        <v>12909</v>
      </c>
      <c r="E2662" s="2" t="s">
        <v>73</v>
      </c>
      <c r="F2662" s="3">
        <v>42470</v>
      </c>
      <c r="G2662" s="2" t="str">
        <f>"9781452945606"</f>
        <v>9781452945606</v>
      </c>
      <c r="H2662" s="2" t="s">
        <v>14</v>
      </c>
      <c r="I2662" s="4">
        <v>42760.642361111109</v>
      </c>
      <c r="J2662" s="2" t="s">
        <v>12911</v>
      </c>
    </row>
    <row r="2663" spans="1:10" ht="135" x14ac:dyDescent="0.25">
      <c r="A2663" s="2" t="s">
        <v>55</v>
      </c>
      <c r="B2663" s="2" t="s">
        <v>10410</v>
      </c>
      <c r="C2663" s="2" t="s">
        <v>10411</v>
      </c>
      <c r="D2663" s="2" t="s">
        <v>10409</v>
      </c>
      <c r="E2663" s="2" t="s">
        <v>846</v>
      </c>
      <c r="F2663" s="3">
        <v>42464</v>
      </c>
      <c r="G2663" s="2" t="str">
        <f>"9781442625020"</f>
        <v>9781442625020</v>
      </c>
      <c r="H2663" s="2" t="s">
        <v>14</v>
      </c>
      <c r="I2663" s="4">
        <v>43059.149305555555</v>
      </c>
      <c r="J2663" s="2" t="s">
        <v>10412</v>
      </c>
    </row>
    <row r="2664" spans="1:10" ht="135" x14ac:dyDescent="0.25">
      <c r="A2664" s="2" t="s">
        <v>55</v>
      </c>
      <c r="B2664" s="2" t="s">
        <v>9826</v>
      </c>
      <c r="C2664" s="2" t="s">
        <v>9827</v>
      </c>
      <c r="D2664" s="2" t="s">
        <v>9825</v>
      </c>
      <c r="E2664" s="2" t="s">
        <v>156</v>
      </c>
      <c r="F2664" s="3">
        <v>42107</v>
      </c>
      <c r="G2664" s="2" t="str">
        <f>"9781469618562"</f>
        <v>9781469618562</v>
      </c>
      <c r="H2664" s="2" t="s">
        <v>14</v>
      </c>
      <c r="I2664" s="4">
        <v>43126.811111111114</v>
      </c>
      <c r="J2664" s="2" t="s">
        <v>9828</v>
      </c>
    </row>
    <row r="2665" spans="1:10" ht="135" x14ac:dyDescent="0.25">
      <c r="A2665" s="2" t="s">
        <v>55</v>
      </c>
      <c r="B2665" s="2" t="s">
        <v>10626</v>
      </c>
      <c r="C2665" s="2" t="s">
        <v>10627</v>
      </c>
      <c r="D2665" s="2" t="s">
        <v>10625</v>
      </c>
      <c r="E2665" s="2" t="s">
        <v>216</v>
      </c>
      <c r="F2665" s="3">
        <v>34956</v>
      </c>
      <c r="G2665" s="2" t="str">
        <f>"9781438415499"</f>
        <v>9781438415499</v>
      </c>
      <c r="H2665" s="2" t="s">
        <v>14</v>
      </c>
      <c r="I2665" s="4">
        <v>43045.886805555558</v>
      </c>
      <c r="J2665" s="2" t="s">
        <v>10628</v>
      </c>
    </row>
    <row r="2666" spans="1:10" ht="135" x14ac:dyDescent="0.25">
      <c r="A2666" s="2" t="s">
        <v>55</v>
      </c>
      <c r="B2666" s="2">
        <v>320.09199999999998</v>
      </c>
      <c r="C2666" s="2" t="s">
        <v>12772</v>
      </c>
      <c r="D2666" s="2" t="s">
        <v>12771</v>
      </c>
      <c r="E2666" s="2" t="s">
        <v>216</v>
      </c>
      <c r="F2666" s="3">
        <v>42095</v>
      </c>
      <c r="G2666" s="2" t="str">
        <f>"9781438455365"</f>
        <v>9781438455365</v>
      </c>
      <c r="H2666" s="2" t="s">
        <v>14</v>
      </c>
      <c r="I2666" s="4">
        <v>42775.673611111109</v>
      </c>
      <c r="J2666" s="2" t="s">
        <v>12773</v>
      </c>
    </row>
    <row r="2667" spans="1:10" ht="135" x14ac:dyDescent="0.25">
      <c r="A2667" s="2" t="s">
        <v>55</v>
      </c>
      <c r="B2667" s="2">
        <v>327.101</v>
      </c>
      <c r="C2667" s="2" t="s">
        <v>9760</v>
      </c>
      <c r="D2667" s="2" t="s">
        <v>9759</v>
      </c>
      <c r="E2667" s="2" t="s">
        <v>121</v>
      </c>
      <c r="F2667" s="3">
        <v>42005</v>
      </c>
      <c r="G2667" s="2" t="str">
        <f>"9781609174453"</f>
        <v>9781609174453</v>
      </c>
      <c r="H2667" s="2" t="s">
        <v>14</v>
      </c>
      <c r="I2667" s="4">
        <v>43131.538888888892</v>
      </c>
      <c r="J2667" s="2" t="s">
        <v>9761</v>
      </c>
    </row>
    <row r="2668" spans="1:10" ht="135" x14ac:dyDescent="0.25">
      <c r="A2668" s="2" t="s">
        <v>55</v>
      </c>
      <c r="B2668" s="2">
        <v>327.73</v>
      </c>
      <c r="C2668" s="2" t="s">
        <v>9138</v>
      </c>
      <c r="D2668" s="2" t="s">
        <v>9137</v>
      </c>
      <c r="E2668" s="2" t="s">
        <v>499</v>
      </c>
      <c r="F2668" s="3">
        <v>41947</v>
      </c>
      <c r="G2668" s="2" t="str">
        <f>"9781626160941"</f>
        <v>9781626160941</v>
      </c>
      <c r="H2668" s="2" t="s">
        <v>14</v>
      </c>
      <c r="I2668" s="4">
        <v>43213.656944444447</v>
      </c>
      <c r="J2668" s="2" t="s">
        <v>9139</v>
      </c>
    </row>
    <row r="2669" spans="1:10" ht="135" x14ac:dyDescent="0.25">
      <c r="A2669" s="2" t="s">
        <v>55</v>
      </c>
      <c r="B2669" s="2">
        <v>324.21509559999998</v>
      </c>
      <c r="C2669" s="2" t="s">
        <v>6059</v>
      </c>
      <c r="D2669" s="2" t="s">
        <v>6058</v>
      </c>
      <c r="E2669" s="2" t="s">
        <v>69</v>
      </c>
      <c r="F2669" s="3">
        <v>42639</v>
      </c>
      <c r="G2669" s="2" t="str">
        <f>"9780253023292"</f>
        <v>9780253023292</v>
      </c>
      <c r="H2669" s="2" t="s">
        <v>14</v>
      </c>
      <c r="I2669" s="4">
        <v>43543.529166666667</v>
      </c>
      <c r="J2669" s="2" t="s">
        <v>6060</v>
      </c>
    </row>
    <row r="2670" spans="1:10" ht="135" x14ac:dyDescent="0.25">
      <c r="A2670" s="2" t="s">
        <v>55</v>
      </c>
      <c r="D2670" s="2" t="s">
        <v>2174</v>
      </c>
      <c r="E2670" s="2" t="s">
        <v>627</v>
      </c>
      <c r="F2670" s="3">
        <v>43282</v>
      </c>
      <c r="G2670" s="2" t="str">
        <f>"9789633861844"</f>
        <v>9789633861844</v>
      </c>
      <c r="H2670" s="2" t="s">
        <v>14</v>
      </c>
      <c r="I2670" s="4">
        <v>43905.717361111114</v>
      </c>
      <c r="J2670" s="2" t="s">
        <v>2175</v>
      </c>
    </row>
    <row r="2671" spans="1:10" ht="135" x14ac:dyDescent="0.25">
      <c r="A2671" s="2" t="s">
        <v>55</v>
      </c>
      <c r="B2671" s="2">
        <v>320.54000000000002</v>
      </c>
      <c r="C2671" s="2" t="s">
        <v>8856</v>
      </c>
      <c r="D2671" s="2" t="s">
        <v>8855</v>
      </c>
      <c r="E2671" s="2" t="s">
        <v>54</v>
      </c>
      <c r="F2671" s="3">
        <v>42864</v>
      </c>
      <c r="G2671" s="2" t="str">
        <f>"9781503602762"</f>
        <v>9781503602762</v>
      </c>
      <c r="H2671" s="2" t="s">
        <v>14</v>
      </c>
      <c r="I2671" s="4">
        <v>43246.388888888891</v>
      </c>
      <c r="J2671" s="2" t="s">
        <v>8857</v>
      </c>
    </row>
    <row r="2672" spans="1:10" ht="135" x14ac:dyDescent="0.25">
      <c r="A2672" s="2" t="s">
        <v>55</v>
      </c>
      <c r="B2672" s="2">
        <v>323</v>
      </c>
      <c r="C2672" s="2" t="s">
        <v>3654</v>
      </c>
      <c r="D2672" s="2" t="s">
        <v>3653</v>
      </c>
      <c r="E2672" s="2" t="s">
        <v>69</v>
      </c>
      <c r="F2672" s="3">
        <v>43475</v>
      </c>
      <c r="G2672" s="2" t="str">
        <f>"9780253039934"</f>
        <v>9780253039934</v>
      </c>
      <c r="H2672" s="2" t="s">
        <v>14</v>
      </c>
      <c r="I2672" s="4">
        <v>43768.727083333331</v>
      </c>
      <c r="J2672" s="2" t="s">
        <v>3655</v>
      </c>
    </row>
    <row r="2673" spans="1:10" ht="135" x14ac:dyDescent="0.25">
      <c r="A2673" s="2" t="s">
        <v>55</v>
      </c>
      <c r="B2673" s="2" t="s">
        <v>8624</v>
      </c>
      <c r="C2673" s="2" t="s">
        <v>10634</v>
      </c>
      <c r="D2673" s="2" t="s">
        <v>10633</v>
      </c>
      <c r="E2673" s="2" t="s">
        <v>4660</v>
      </c>
      <c r="F2673" s="3">
        <v>38268</v>
      </c>
      <c r="G2673" s="2" t="str">
        <f>"9780813156620"</f>
        <v>9780813156620</v>
      </c>
      <c r="H2673" s="2" t="s">
        <v>14</v>
      </c>
      <c r="I2673" s="4">
        <v>43045.65347222222</v>
      </c>
      <c r="J2673" s="2" t="s">
        <v>10635</v>
      </c>
    </row>
    <row r="2674" spans="1:10" ht="165" x14ac:dyDescent="0.25">
      <c r="A2674" s="2" t="s">
        <v>55</v>
      </c>
      <c r="B2674" s="2">
        <v>323.09519299999999</v>
      </c>
      <c r="C2674" s="2" t="s">
        <v>8734</v>
      </c>
      <c r="D2674" s="2" t="s">
        <v>8732</v>
      </c>
      <c r="E2674" s="2" t="s">
        <v>8733</v>
      </c>
      <c r="F2674" s="3">
        <v>42108</v>
      </c>
      <c r="G2674" s="2" t="str">
        <f>"9781462915125"</f>
        <v>9781462915125</v>
      </c>
      <c r="H2674" s="2" t="s">
        <v>14</v>
      </c>
      <c r="I2674" s="4">
        <v>43259.42083333333</v>
      </c>
      <c r="J2674" s="2" t="s">
        <v>8735</v>
      </c>
    </row>
    <row r="2675" spans="1:10" ht="135" x14ac:dyDescent="0.25">
      <c r="A2675" s="2" t="s">
        <v>55</v>
      </c>
      <c r="B2675" s="2">
        <v>320.01</v>
      </c>
      <c r="C2675" s="2" t="s">
        <v>1247</v>
      </c>
      <c r="D2675" s="2" t="s">
        <v>1246</v>
      </c>
      <c r="E2675" s="2" t="s">
        <v>460</v>
      </c>
      <c r="F2675" s="3">
        <v>42884</v>
      </c>
      <c r="G2675" s="2" t="str">
        <f>"9780773550537"</f>
        <v>9780773550537</v>
      </c>
      <c r="H2675" s="2" t="s">
        <v>14</v>
      </c>
      <c r="I2675" s="4">
        <v>43953.068749999999</v>
      </c>
      <c r="J2675" s="2" t="s">
        <v>1248</v>
      </c>
    </row>
    <row r="2676" spans="1:10" ht="150" x14ac:dyDescent="0.25">
      <c r="A2676" s="2" t="s">
        <v>55</v>
      </c>
      <c r="B2676" s="2">
        <v>327.17470973000002</v>
      </c>
      <c r="C2676" s="2" t="s">
        <v>3231</v>
      </c>
      <c r="D2676" s="2" t="s">
        <v>3230</v>
      </c>
      <c r="E2676" s="2" t="s">
        <v>156</v>
      </c>
      <c r="F2676" s="3">
        <v>41671</v>
      </c>
      <c r="G2676" s="2" t="str">
        <f>"9781469604220"</f>
        <v>9781469604220</v>
      </c>
      <c r="H2676" s="2" t="s">
        <v>14</v>
      </c>
      <c r="I2676" s="4">
        <v>43797.003472222219</v>
      </c>
      <c r="J2676" s="2" t="s">
        <v>3232</v>
      </c>
    </row>
    <row r="2677" spans="1:10" ht="135" x14ac:dyDescent="0.25">
      <c r="A2677" s="2" t="s">
        <v>55</v>
      </c>
      <c r="B2677" s="2" t="s">
        <v>8624</v>
      </c>
      <c r="C2677" s="2" t="s">
        <v>8625</v>
      </c>
      <c r="D2677" s="2" t="s">
        <v>8623</v>
      </c>
      <c r="E2677" s="2" t="s">
        <v>499</v>
      </c>
      <c r="F2677" s="3">
        <v>42064</v>
      </c>
      <c r="G2677" s="2" t="str">
        <f>"9781626161849"</f>
        <v>9781626161849</v>
      </c>
      <c r="H2677" s="2" t="s">
        <v>14</v>
      </c>
      <c r="I2677" s="4">
        <v>43281.67083333333</v>
      </c>
      <c r="J2677" s="2" t="s">
        <v>8626</v>
      </c>
    </row>
    <row r="2678" spans="1:10" ht="135" x14ac:dyDescent="0.25">
      <c r="A2678" s="2" t="s">
        <v>55</v>
      </c>
      <c r="D2678" s="2" t="s">
        <v>1024</v>
      </c>
      <c r="E2678" s="2" t="s">
        <v>268</v>
      </c>
      <c r="F2678" s="3">
        <v>43851</v>
      </c>
      <c r="G2678" s="2" t="str">
        <f>"9780815737926"</f>
        <v>9780815737926</v>
      </c>
      <c r="H2678" s="2" t="s">
        <v>14</v>
      </c>
      <c r="I2678" s="4">
        <v>43969.469444444447</v>
      </c>
      <c r="J2678" s="2" t="s">
        <v>1025</v>
      </c>
    </row>
    <row r="2679" spans="1:10" ht="135" x14ac:dyDescent="0.25">
      <c r="A2679" s="2" t="s">
        <v>55</v>
      </c>
      <c r="B2679" s="2" t="s">
        <v>1535</v>
      </c>
      <c r="C2679" s="2" t="s">
        <v>1536</v>
      </c>
      <c r="D2679" s="2" t="s">
        <v>1534</v>
      </c>
      <c r="E2679" s="2" t="s">
        <v>585</v>
      </c>
      <c r="F2679" s="3">
        <v>42250</v>
      </c>
      <c r="G2679" s="2" t="str">
        <f>"9780226205410"</f>
        <v>9780226205410</v>
      </c>
      <c r="H2679" s="2" t="s">
        <v>14</v>
      </c>
      <c r="I2679" s="4">
        <v>43938.527083333334</v>
      </c>
      <c r="J2679" s="2" t="s">
        <v>1537</v>
      </c>
    </row>
    <row r="2680" spans="1:10" ht="135" x14ac:dyDescent="0.25">
      <c r="A2680" s="2" t="s">
        <v>55</v>
      </c>
      <c r="B2680" s="2">
        <v>327.2</v>
      </c>
      <c r="C2680" s="2" t="s">
        <v>9674</v>
      </c>
      <c r="D2680" s="2" t="s">
        <v>9673</v>
      </c>
      <c r="E2680" s="2" t="s">
        <v>3950</v>
      </c>
      <c r="F2680" s="3">
        <v>42257</v>
      </c>
      <c r="G2680" s="2" t="str">
        <f>"9781869143107"</f>
        <v>9781869143107</v>
      </c>
      <c r="H2680" s="2" t="s">
        <v>14</v>
      </c>
      <c r="I2680" s="4">
        <v>43138.500694444447</v>
      </c>
      <c r="J2680" s="2" t="s">
        <v>9675</v>
      </c>
    </row>
    <row r="2681" spans="1:10" ht="135" x14ac:dyDescent="0.25">
      <c r="A2681" s="2" t="s">
        <v>55</v>
      </c>
      <c r="B2681" s="2">
        <v>320.01</v>
      </c>
      <c r="C2681" s="2" t="s">
        <v>7172</v>
      </c>
      <c r="D2681" s="2" t="s">
        <v>7171</v>
      </c>
      <c r="E2681" s="2" t="s">
        <v>216</v>
      </c>
      <c r="F2681" s="3">
        <v>42736</v>
      </c>
      <c r="G2681" s="2" t="str">
        <f>"9781438464107"</f>
        <v>9781438464107</v>
      </c>
      <c r="H2681" s="2" t="s">
        <v>14</v>
      </c>
      <c r="I2681" s="4">
        <v>43438.55972222222</v>
      </c>
      <c r="J2681" s="2" t="s">
        <v>7173</v>
      </c>
    </row>
    <row r="2682" spans="1:10" ht="135" x14ac:dyDescent="0.25">
      <c r="A2682" s="2" t="s">
        <v>55</v>
      </c>
      <c r="B2682" s="2">
        <v>320.96762000000001</v>
      </c>
      <c r="C2682" s="2" t="s">
        <v>265</v>
      </c>
      <c r="D2682" s="2" t="s">
        <v>5780</v>
      </c>
      <c r="E2682" s="2" t="s">
        <v>37</v>
      </c>
      <c r="F2682" s="3">
        <v>43027</v>
      </c>
      <c r="G2682" s="2" t="str">
        <f>"9783319652955"</f>
        <v>9783319652955</v>
      </c>
      <c r="H2682" s="2" t="s">
        <v>14</v>
      </c>
      <c r="I2682" s="4">
        <v>43572.589583333334</v>
      </c>
      <c r="J2682" s="2" t="s">
        <v>5781</v>
      </c>
    </row>
    <row r="2683" spans="1:10" ht="135" x14ac:dyDescent="0.25">
      <c r="A2683" s="2" t="s">
        <v>55</v>
      </c>
      <c r="B2683" s="2" t="s">
        <v>1694</v>
      </c>
      <c r="C2683" s="2" t="s">
        <v>1695</v>
      </c>
      <c r="D2683" s="2" t="s">
        <v>1693</v>
      </c>
      <c r="E2683" s="2" t="s">
        <v>585</v>
      </c>
      <c r="F2683" s="3">
        <v>38732</v>
      </c>
      <c r="G2683" s="2" t="str">
        <f>"9780226738901"</f>
        <v>9780226738901</v>
      </c>
      <c r="H2683" s="2" t="s">
        <v>14</v>
      </c>
      <c r="I2683" s="4">
        <v>43931.564583333333</v>
      </c>
      <c r="J2683" s="2" t="s">
        <v>1696</v>
      </c>
    </row>
    <row r="2684" spans="1:10" ht="150" x14ac:dyDescent="0.25">
      <c r="A2684" s="2" t="s">
        <v>55</v>
      </c>
      <c r="B2684" s="2">
        <v>320</v>
      </c>
      <c r="C2684" s="2" t="s">
        <v>1620</v>
      </c>
      <c r="D2684" s="2" t="s">
        <v>1618</v>
      </c>
      <c r="E2684" s="2" t="s">
        <v>1619</v>
      </c>
      <c r="F2684" s="3">
        <v>43521</v>
      </c>
      <c r="G2684" s="2" t="str">
        <f>"9783732994649"</f>
        <v>9783732994649</v>
      </c>
      <c r="H2684" s="2" t="s">
        <v>14</v>
      </c>
      <c r="I2684" s="4">
        <v>43935.375694444447</v>
      </c>
      <c r="J2684" s="2" t="s">
        <v>1621</v>
      </c>
    </row>
    <row r="2685" spans="1:10" ht="150" x14ac:dyDescent="0.25">
      <c r="A2685" s="2" t="s">
        <v>55</v>
      </c>
      <c r="B2685" s="2">
        <v>324.64097500000003</v>
      </c>
      <c r="C2685" s="2" t="s">
        <v>1011</v>
      </c>
      <c r="D2685" s="2" t="s">
        <v>1010</v>
      </c>
      <c r="E2685" s="2" t="s">
        <v>156</v>
      </c>
      <c r="F2685" s="3">
        <v>43598</v>
      </c>
      <c r="G2685" s="2" t="str">
        <f>"9781469651330"</f>
        <v>9781469651330</v>
      </c>
      <c r="H2685" s="2" t="s">
        <v>14</v>
      </c>
      <c r="I2685" s="4">
        <v>43969.803472222222</v>
      </c>
      <c r="J2685" s="2" t="s">
        <v>1012</v>
      </c>
    </row>
    <row r="2686" spans="1:10" ht="135" x14ac:dyDescent="0.25">
      <c r="A2686" s="2" t="s">
        <v>55</v>
      </c>
      <c r="B2686" s="2">
        <v>321.8</v>
      </c>
      <c r="C2686" s="2" t="s">
        <v>5056</v>
      </c>
      <c r="D2686" s="2" t="s">
        <v>5055</v>
      </c>
      <c r="E2686" s="2" t="s">
        <v>54</v>
      </c>
      <c r="F2686" s="3">
        <v>42718</v>
      </c>
      <c r="G2686" s="2" t="str">
        <f>"9781503600775"</f>
        <v>9781503600775</v>
      </c>
      <c r="H2686" s="2" t="s">
        <v>14</v>
      </c>
      <c r="I2686" s="4">
        <v>43611.706250000003</v>
      </c>
      <c r="J2686" s="2" t="s">
        <v>5057</v>
      </c>
    </row>
    <row r="2687" spans="1:10" ht="135" x14ac:dyDescent="0.25">
      <c r="A2687" s="2" t="s">
        <v>55</v>
      </c>
      <c r="B2687" s="2">
        <v>324.27319999999997</v>
      </c>
      <c r="C2687" s="2" t="s">
        <v>12730</v>
      </c>
      <c r="D2687" s="2" t="s">
        <v>12729</v>
      </c>
      <c r="E2687" s="2" t="s">
        <v>4660</v>
      </c>
      <c r="F2687" s="3">
        <v>41827</v>
      </c>
      <c r="G2687" s="2" t="str">
        <f>"9780813162003"</f>
        <v>9780813162003</v>
      </c>
      <c r="H2687" s="2" t="s">
        <v>14</v>
      </c>
      <c r="I2687" s="4">
        <v>42779.504861111112</v>
      </c>
      <c r="J2687" s="2" t="s">
        <v>12731</v>
      </c>
    </row>
    <row r="2688" spans="1:10" ht="135" x14ac:dyDescent="0.25">
      <c r="A2688" s="2" t="s">
        <v>55</v>
      </c>
      <c r="B2688" s="2">
        <v>320.56619999999998</v>
      </c>
      <c r="C2688" s="2" t="s">
        <v>6869</v>
      </c>
      <c r="D2688" s="2" t="s">
        <v>6868</v>
      </c>
      <c r="E2688" s="2" t="s">
        <v>2868</v>
      </c>
      <c r="F2688" s="3">
        <v>43191</v>
      </c>
      <c r="G2688" s="2" t="str">
        <f>"9781742244204"</f>
        <v>9781742244204</v>
      </c>
      <c r="H2688" s="2" t="s">
        <v>14</v>
      </c>
      <c r="I2688" s="4">
        <v>43480.664583333331</v>
      </c>
      <c r="J2688" s="2" t="s">
        <v>6870</v>
      </c>
    </row>
    <row r="2689" spans="1:10" ht="195" x14ac:dyDescent="0.25">
      <c r="A2689" s="2" t="s">
        <v>55</v>
      </c>
      <c r="B2689" s="2">
        <v>324.273609034</v>
      </c>
      <c r="C2689" s="2" t="s">
        <v>6391</v>
      </c>
      <c r="D2689" s="2" t="s">
        <v>6390</v>
      </c>
      <c r="E2689" s="2" t="s">
        <v>28</v>
      </c>
      <c r="F2689" s="3">
        <v>43565</v>
      </c>
      <c r="G2689" s="2" t="str">
        <f>"9780813942513"</f>
        <v>9780813942513</v>
      </c>
      <c r="H2689" s="2" t="s">
        <v>14</v>
      </c>
      <c r="I2689" s="4">
        <v>43520.879166666666</v>
      </c>
      <c r="J2689" s="2" t="s">
        <v>6392</v>
      </c>
    </row>
    <row r="2690" spans="1:10" ht="135" x14ac:dyDescent="0.25">
      <c r="A2690" s="2" t="s">
        <v>55</v>
      </c>
      <c r="B2690" s="2">
        <v>320.01</v>
      </c>
      <c r="C2690" s="2" t="s">
        <v>11483</v>
      </c>
      <c r="D2690" s="2" t="s">
        <v>11482</v>
      </c>
      <c r="E2690" s="2" t="s">
        <v>216</v>
      </c>
      <c r="F2690" s="3">
        <v>42461</v>
      </c>
      <c r="G2690" s="2" t="str">
        <f>"9781438461267"</f>
        <v>9781438461267</v>
      </c>
      <c r="H2690" s="2" t="s">
        <v>14</v>
      </c>
      <c r="I2690" s="4">
        <v>42950.447222222225</v>
      </c>
      <c r="J2690" s="2" t="s">
        <v>11484</v>
      </c>
    </row>
    <row r="2691" spans="1:10" ht="135" x14ac:dyDescent="0.25">
      <c r="A2691" s="2" t="s">
        <v>55</v>
      </c>
      <c r="C2691" s="2" t="s">
        <v>12567</v>
      </c>
      <c r="D2691" s="2" t="s">
        <v>12566</v>
      </c>
      <c r="E2691" s="2" t="s">
        <v>3950</v>
      </c>
      <c r="F2691" s="3">
        <v>42625</v>
      </c>
      <c r="G2691" s="2" t="str">
        <f>"9781869143244"</f>
        <v>9781869143244</v>
      </c>
      <c r="H2691" s="2" t="s">
        <v>14</v>
      </c>
      <c r="I2691" s="4">
        <v>42795.456944444442</v>
      </c>
      <c r="J2691" s="2" t="s">
        <v>12568</v>
      </c>
    </row>
    <row r="2692" spans="1:10" ht="135" x14ac:dyDescent="0.25">
      <c r="A2692" s="2" t="s">
        <v>55</v>
      </c>
      <c r="B2692" s="2">
        <v>321.8</v>
      </c>
      <c r="C2692" s="2" t="s">
        <v>7765</v>
      </c>
      <c r="D2692" s="2" t="s">
        <v>7764</v>
      </c>
      <c r="E2692" s="2" t="s">
        <v>674</v>
      </c>
      <c r="F2692" s="3">
        <v>42795</v>
      </c>
      <c r="G2692" s="2" t="str">
        <f>"9780823276431"</f>
        <v>9780823276431</v>
      </c>
      <c r="H2692" s="2" t="s">
        <v>14</v>
      </c>
      <c r="I2692" s="4">
        <v>43391.582638888889</v>
      </c>
      <c r="J2692" s="2" t="s">
        <v>7766</v>
      </c>
    </row>
    <row r="2693" spans="1:10" ht="135" x14ac:dyDescent="0.25">
      <c r="A2693" s="2" t="s">
        <v>55</v>
      </c>
      <c r="B2693" s="2">
        <v>323.119601821</v>
      </c>
      <c r="C2693" s="2" t="s">
        <v>6990</v>
      </c>
      <c r="D2693" s="2" t="s">
        <v>6989</v>
      </c>
      <c r="E2693" s="2" t="s">
        <v>322</v>
      </c>
      <c r="F2693" s="3">
        <v>43205</v>
      </c>
      <c r="G2693" s="2" t="str">
        <f>"9780820353098"</f>
        <v>9780820353098</v>
      </c>
      <c r="H2693" s="2" t="s">
        <v>14</v>
      </c>
      <c r="I2693" s="4">
        <v>43468.412499999999</v>
      </c>
      <c r="J2693" s="2" t="s">
        <v>6991</v>
      </c>
    </row>
    <row r="2694" spans="1:10" ht="135" x14ac:dyDescent="0.25">
      <c r="A2694" s="2" t="s">
        <v>55</v>
      </c>
      <c r="B2694" s="2">
        <v>320.01</v>
      </c>
      <c r="C2694" s="2" t="s">
        <v>12983</v>
      </c>
      <c r="D2694" s="2" t="s">
        <v>12982</v>
      </c>
      <c r="E2694" s="2" t="s">
        <v>4660</v>
      </c>
      <c r="F2694" s="3">
        <v>41829</v>
      </c>
      <c r="G2694" s="2" t="str">
        <f>"9780813145549"</f>
        <v>9780813145549</v>
      </c>
      <c r="H2694" s="2" t="s">
        <v>14</v>
      </c>
      <c r="I2694" s="4">
        <v>42749.213194444441</v>
      </c>
      <c r="J2694" s="2" t="s">
        <v>12984</v>
      </c>
    </row>
    <row r="2695" spans="1:10" ht="135" x14ac:dyDescent="0.25">
      <c r="A2695" s="2" t="s">
        <v>55</v>
      </c>
      <c r="B2695" s="2">
        <v>320.12</v>
      </c>
      <c r="C2695" s="2" t="s">
        <v>912</v>
      </c>
      <c r="D2695" s="2" t="s">
        <v>911</v>
      </c>
      <c r="E2695" s="2" t="s">
        <v>627</v>
      </c>
      <c r="F2695" s="3">
        <v>43691</v>
      </c>
      <c r="G2695" s="2" t="str">
        <f>"9789633863114"</f>
        <v>9789633863114</v>
      </c>
      <c r="H2695" s="2" t="s">
        <v>14</v>
      </c>
      <c r="I2695" s="4">
        <v>43975.824999999997</v>
      </c>
      <c r="J2695" s="2" t="s">
        <v>913</v>
      </c>
    </row>
    <row r="2696" spans="1:10" ht="135" x14ac:dyDescent="0.25">
      <c r="A2696" s="2" t="s">
        <v>55</v>
      </c>
      <c r="D2696" s="2" t="s">
        <v>2650</v>
      </c>
      <c r="E2696" s="2" t="s">
        <v>627</v>
      </c>
      <c r="F2696" s="3">
        <v>43324</v>
      </c>
      <c r="G2696" s="2" t="str">
        <f>"9789633862711"</f>
        <v>9789633862711</v>
      </c>
      <c r="H2696" s="2" t="s">
        <v>14</v>
      </c>
      <c r="I2696" s="4">
        <v>43870.515972222223</v>
      </c>
      <c r="J2696" s="2" t="s">
        <v>2651</v>
      </c>
    </row>
    <row r="2697" spans="1:10" ht="135" x14ac:dyDescent="0.25">
      <c r="A2697" s="2" t="s">
        <v>55</v>
      </c>
      <c r="B2697" s="2">
        <v>320.5</v>
      </c>
      <c r="C2697" s="2" t="s">
        <v>6705</v>
      </c>
      <c r="D2697" s="2" t="s">
        <v>6703</v>
      </c>
      <c r="E2697" s="2" t="s">
        <v>6704</v>
      </c>
      <c r="F2697" s="3">
        <v>42840</v>
      </c>
      <c r="G2697" s="2" t="str">
        <f>"9781609092177"</f>
        <v>9781609092177</v>
      </c>
      <c r="H2697" s="2" t="s">
        <v>14</v>
      </c>
      <c r="I2697" s="4">
        <v>43495.549305555556</v>
      </c>
      <c r="J2697" s="2" t="s">
        <v>6706</v>
      </c>
    </row>
    <row r="2698" spans="1:10" ht="135" x14ac:dyDescent="0.25">
      <c r="A2698" s="2" t="s">
        <v>55</v>
      </c>
      <c r="B2698" s="2">
        <v>320.01</v>
      </c>
      <c r="C2698" s="2" t="s">
        <v>7100</v>
      </c>
      <c r="D2698" s="2" t="s">
        <v>7099</v>
      </c>
      <c r="E2698" s="2" t="s">
        <v>216</v>
      </c>
      <c r="F2698" s="3">
        <v>43282</v>
      </c>
      <c r="G2698" s="2" t="str">
        <f>"9781438470368"</f>
        <v>9781438470368</v>
      </c>
      <c r="H2698" s="2" t="s">
        <v>14</v>
      </c>
      <c r="I2698" s="4">
        <v>43447.670138888891</v>
      </c>
      <c r="J2698" s="2" t="s">
        <v>7101</v>
      </c>
    </row>
    <row r="2699" spans="1:10" ht="135" x14ac:dyDescent="0.25">
      <c r="A2699" s="2" t="s">
        <v>55</v>
      </c>
      <c r="B2699" s="2">
        <v>320.01</v>
      </c>
      <c r="C2699" s="2" t="s">
        <v>265</v>
      </c>
      <c r="D2699" s="2" t="s">
        <v>5915</v>
      </c>
      <c r="E2699" s="2" t="s">
        <v>37</v>
      </c>
      <c r="F2699" s="3">
        <v>42640</v>
      </c>
      <c r="G2699" s="2" t="str">
        <f>"9783319413907"</f>
        <v>9783319413907</v>
      </c>
      <c r="H2699" s="2" t="s">
        <v>14</v>
      </c>
      <c r="I2699" s="4">
        <v>43558.499305555553</v>
      </c>
      <c r="J2699" s="2" t="s">
        <v>5916</v>
      </c>
    </row>
    <row r="2700" spans="1:10" ht="150" x14ac:dyDescent="0.25">
      <c r="A2700" s="2" t="s">
        <v>55</v>
      </c>
      <c r="B2700" s="2">
        <v>325.45</v>
      </c>
      <c r="C2700" s="2" t="s">
        <v>8412</v>
      </c>
      <c r="D2700" s="2" t="s">
        <v>8411</v>
      </c>
      <c r="E2700" s="2" t="s">
        <v>54</v>
      </c>
      <c r="F2700" s="3">
        <v>43277</v>
      </c>
      <c r="G2700" s="2" t="str">
        <f>"9781503606500"</f>
        <v>9781503606500</v>
      </c>
      <c r="H2700" s="2" t="s">
        <v>14</v>
      </c>
      <c r="I2700" s="4">
        <v>43312.38958333333</v>
      </c>
      <c r="J2700" s="2" t="s">
        <v>8413</v>
      </c>
    </row>
    <row r="2701" spans="1:10" ht="135" x14ac:dyDescent="0.25">
      <c r="A2701" s="2" t="s">
        <v>55</v>
      </c>
      <c r="B2701" s="2">
        <v>327.47000000000003</v>
      </c>
      <c r="C2701" s="2" t="s">
        <v>1079</v>
      </c>
      <c r="D2701" s="2" t="s">
        <v>1078</v>
      </c>
      <c r="E2701" s="2" t="s">
        <v>268</v>
      </c>
      <c r="F2701" s="3">
        <v>42233</v>
      </c>
      <c r="G2701" s="2" t="str">
        <f>"9780815725572"</f>
        <v>9780815725572</v>
      </c>
      <c r="H2701" s="2" t="s">
        <v>14</v>
      </c>
      <c r="I2701" s="4">
        <v>43965.481944444444</v>
      </c>
      <c r="J2701" s="2" t="s">
        <v>1080</v>
      </c>
    </row>
    <row r="2702" spans="1:10" ht="135" x14ac:dyDescent="0.25">
      <c r="A2702" s="2" t="s">
        <v>55</v>
      </c>
      <c r="B2702" s="2">
        <v>327.47000000000003</v>
      </c>
      <c r="C2702" s="2" t="s">
        <v>1250</v>
      </c>
      <c r="D2702" s="2" t="s">
        <v>1249</v>
      </c>
      <c r="E2702" s="2" t="s">
        <v>499</v>
      </c>
      <c r="F2702" s="3">
        <v>43556</v>
      </c>
      <c r="G2702" s="2" t="str">
        <f>"9781626166622"</f>
        <v>9781626166622</v>
      </c>
      <c r="H2702" s="2" t="s">
        <v>14</v>
      </c>
      <c r="I2702" s="4">
        <v>43952.636805555558</v>
      </c>
      <c r="J2702" s="2" t="s">
        <v>1251</v>
      </c>
    </row>
    <row r="2703" spans="1:10" ht="135" x14ac:dyDescent="0.25">
      <c r="A2703" s="2" t="s">
        <v>55</v>
      </c>
      <c r="B2703" s="2">
        <v>327.1241</v>
      </c>
      <c r="C2703" s="2" t="s">
        <v>2451</v>
      </c>
      <c r="D2703" s="2" t="s">
        <v>2450</v>
      </c>
      <c r="E2703" s="2" t="s">
        <v>268</v>
      </c>
      <c r="F2703" s="3">
        <v>43879</v>
      </c>
      <c r="G2703" s="2" t="str">
        <f>"9780815737988"</f>
        <v>9780815737988</v>
      </c>
      <c r="H2703" s="2" t="s">
        <v>14</v>
      </c>
      <c r="I2703" s="4">
        <v>43884.794444444444</v>
      </c>
      <c r="J2703" s="2" t="s">
        <v>2452</v>
      </c>
    </row>
    <row r="2704" spans="1:10" ht="135" x14ac:dyDescent="0.25">
      <c r="A2704" s="2" t="s">
        <v>55</v>
      </c>
      <c r="B2704" s="2">
        <v>323.09679999999997</v>
      </c>
      <c r="C2704" s="2" t="s">
        <v>4103</v>
      </c>
      <c r="D2704" s="2" t="s">
        <v>4102</v>
      </c>
      <c r="E2704" s="2" t="s">
        <v>256</v>
      </c>
      <c r="F2704" s="3">
        <v>41167</v>
      </c>
      <c r="G2704" s="2" t="str">
        <f>"9780821444405"</f>
        <v>9780821444405</v>
      </c>
      <c r="H2704" s="2" t="s">
        <v>14</v>
      </c>
      <c r="I2704" s="4">
        <v>43712.614583333336</v>
      </c>
      <c r="J2704" s="2" t="s">
        <v>4104</v>
      </c>
    </row>
    <row r="2705" spans="1:10" ht="135" x14ac:dyDescent="0.25">
      <c r="A2705" s="2" t="s">
        <v>55</v>
      </c>
      <c r="B2705" s="2">
        <v>320.97301399999998</v>
      </c>
      <c r="C2705" s="2" t="s">
        <v>2903</v>
      </c>
      <c r="D2705" s="2" t="s">
        <v>2901</v>
      </c>
      <c r="E2705" s="2" t="s">
        <v>2902</v>
      </c>
      <c r="F2705" s="3">
        <v>41717</v>
      </c>
      <c r="G2705" s="2" t="str">
        <f>"9781623491352"</f>
        <v>9781623491352</v>
      </c>
      <c r="H2705" s="2" t="s">
        <v>14</v>
      </c>
      <c r="I2705" s="4">
        <v>43844.958333333336</v>
      </c>
      <c r="J2705" s="2" t="s">
        <v>2904</v>
      </c>
    </row>
    <row r="2706" spans="1:10" ht="135" x14ac:dyDescent="0.25">
      <c r="A2706" s="2" t="s">
        <v>55</v>
      </c>
      <c r="B2706" s="2">
        <v>320.09199999999998</v>
      </c>
      <c r="C2706" s="2" t="s">
        <v>12716</v>
      </c>
      <c r="D2706" s="2" t="s">
        <v>12715</v>
      </c>
      <c r="E2706" s="2" t="s">
        <v>54</v>
      </c>
      <c r="F2706" s="3">
        <v>42375</v>
      </c>
      <c r="G2706" s="2" t="str">
        <f>"9780804796996"</f>
        <v>9780804796996</v>
      </c>
      <c r="H2706" s="2" t="s">
        <v>14</v>
      </c>
      <c r="I2706" s="4">
        <v>42780.691666666666</v>
      </c>
      <c r="J2706" s="2" t="s">
        <v>12717</v>
      </c>
    </row>
    <row r="2707" spans="1:10" ht="135" x14ac:dyDescent="0.25">
      <c r="A2707" s="2" t="s">
        <v>55</v>
      </c>
      <c r="B2707" s="2">
        <v>324.91717</v>
      </c>
      <c r="C2707" s="2" t="s">
        <v>2025</v>
      </c>
      <c r="D2707" s="2" t="s">
        <v>2024</v>
      </c>
      <c r="E2707" s="2" t="s">
        <v>627</v>
      </c>
      <c r="F2707" s="3">
        <v>43565</v>
      </c>
      <c r="G2707" s="2" t="str">
        <f>"9789633862155"</f>
        <v>9789633862155</v>
      </c>
      <c r="H2707" s="2" t="s">
        <v>14</v>
      </c>
      <c r="I2707" s="4">
        <v>43917.588888888888</v>
      </c>
      <c r="J2707" s="2" t="s">
        <v>2026</v>
      </c>
    </row>
    <row r="2708" spans="1:10" ht="135" x14ac:dyDescent="0.25">
      <c r="A2708" s="2" t="s">
        <v>55</v>
      </c>
      <c r="B2708" s="2">
        <v>324.096761090511</v>
      </c>
      <c r="C2708" s="2" t="s">
        <v>257</v>
      </c>
      <c r="D2708" s="2" t="s">
        <v>255</v>
      </c>
      <c r="E2708" s="2" t="s">
        <v>256</v>
      </c>
      <c r="F2708" s="3">
        <v>43613</v>
      </c>
      <c r="G2708" s="2" t="str">
        <f>"9780821446669"</f>
        <v>9780821446669</v>
      </c>
      <c r="H2708" s="2" t="s">
        <v>14</v>
      </c>
      <c r="I2708" s="4">
        <v>44049.625</v>
      </c>
      <c r="J2708" s="2" t="s">
        <v>258</v>
      </c>
    </row>
    <row r="2709" spans="1:10" ht="135" x14ac:dyDescent="0.25">
      <c r="A2709" s="2" t="s">
        <v>55</v>
      </c>
      <c r="B2709" s="2">
        <v>320.95930099999998</v>
      </c>
      <c r="C2709" s="2" t="s">
        <v>11064</v>
      </c>
      <c r="D2709" s="2" t="s">
        <v>11063</v>
      </c>
      <c r="E2709" s="2" t="s">
        <v>216</v>
      </c>
      <c r="F2709" s="3">
        <v>42522</v>
      </c>
      <c r="G2709" s="2" t="str">
        <f>"9781438460901"</f>
        <v>9781438460901</v>
      </c>
      <c r="H2709" s="2" t="s">
        <v>14</v>
      </c>
      <c r="I2709" s="4">
        <v>43020.556944444441</v>
      </c>
      <c r="J2709" s="2" t="s">
        <v>11065</v>
      </c>
    </row>
    <row r="2710" spans="1:10" ht="135" x14ac:dyDescent="0.25">
      <c r="A2710" s="2" t="s">
        <v>55</v>
      </c>
      <c r="B2710" s="2">
        <v>320.97300000000001</v>
      </c>
      <c r="C2710" s="2" t="s">
        <v>12309</v>
      </c>
      <c r="D2710" s="2" t="s">
        <v>12308</v>
      </c>
      <c r="E2710" s="2" t="s">
        <v>235</v>
      </c>
      <c r="F2710" s="3">
        <v>41325</v>
      </c>
      <c r="G2710" s="2" t="str">
        <f>"9781440802836"</f>
        <v>9781440802836</v>
      </c>
      <c r="H2710" s="2" t="s">
        <v>14</v>
      </c>
      <c r="I2710" s="4">
        <v>42816.626388888886</v>
      </c>
      <c r="J2710" s="2" t="s">
        <v>12310</v>
      </c>
    </row>
    <row r="2711" spans="1:10" ht="180" x14ac:dyDescent="0.25">
      <c r="A2711" s="2" t="s">
        <v>55</v>
      </c>
      <c r="B2711" s="2">
        <v>327.73</v>
      </c>
      <c r="C2711" s="2" t="s">
        <v>9938</v>
      </c>
      <c r="D2711" s="2" t="s">
        <v>9937</v>
      </c>
      <c r="E2711" s="2" t="s">
        <v>1869</v>
      </c>
      <c r="F2711" s="3">
        <v>41899</v>
      </c>
      <c r="G2711" s="2" t="str">
        <f>"9781442236950"</f>
        <v>9781442236950</v>
      </c>
      <c r="H2711" s="2" t="s">
        <v>14</v>
      </c>
      <c r="I2711" s="4">
        <v>43117.90902777778</v>
      </c>
      <c r="J2711" s="2" t="s">
        <v>9939</v>
      </c>
    </row>
    <row r="2712" spans="1:10" ht="135" x14ac:dyDescent="0.25">
      <c r="A2712" s="2" t="s">
        <v>55</v>
      </c>
      <c r="B2712" s="2">
        <v>327.51</v>
      </c>
      <c r="C2712" s="2" t="s">
        <v>6140</v>
      </c>
      <c r="D2712" s="2" t="s">
        <v>6139</v>
      </c>
      <c r="E2712" s="2" t="s">
        <v>216</v>
      </c>
      <c r="F2712" s="3">
        <v>42979</v>
      </c>
      <c r="G2712" s="2" t="str">
        <f>"9781438467504"</f>
        <v>9781438467504</v>
      </c>
      <c r="H2712" s="2" t="s">
        <v>14</v>
      </c>
      <c r="I2712" s="4">
        <v>43536.655555555553</v>
      </c>
      <c r="J2712" s="2" t="s">
        <v>6141</v>
      </c>
    </row>
    <row r="2713" spans="1:10" ht="135" x14ac:dyDescent="0.25">
      <c r="A2713" s="2" t="s">
        <v>55</v>
      </c>
      <c r="B2713" s="2">
        <v>320.56109800000002</v>
      </c>
      <c r="C2713" s="2" t="s">
        <v>265</v>
      </c>
      <c r="D2713" s="2" t="s">
        <v>7028</v>
      </c>
      <c r="E2713" s="2" t="s">
        <v>618</v>
      </c>
      <c r="F2713" s="3">
        <v>42633</v>
      </c>
      <c r="G2713" s="2" t="str">
        <f>"9781137509581"</f>
        <v>9781137509581</v>
      </c>
      <c r="H2713" s="2" t="s">
        <v>14</v>
      </c>
      <c r="I2713" s="4">
        <v>43459.622916666667</v>
      </c>
      <c r="J2713" s="2" t="s">
        <v>7029</v>
      </c>
    </row>
    <row r="2714" spans="1:10" ht="165" x14ac:dyDescent="0.25">
      <c r="A2714" s="2" t="s">
        <v>55</v>
      </c>
      <c r="B2714" s="2">
        <v>328.73</v>
      </c>
      <c r="C2714" s="2" t="s">
        <v>9483</v>
      </c>
      <c r="D2714" s="2" t="s">
        <v>9482</v>
      </c>
      <c r="E2714" s="2" t="s">
        <v>328</v>
      </c>
      <c r="F2714" s="3">
        <v>41542</v>
      </c>
      <c r="G2714" s="2" t="str">
        <f>"9780739183052"</f>
        <v>9780739183052</v>
      </c>
      <c r="H2714" s="2" t="s">
        <v>14</v>
      </c>
      <c r="I2714" s="4">
        <v>43162.718055555553</v>
      </c>
      <c r="J2714" s="2" t="s">
        <v>9484</v>
      </c>
    </row>
    <row r="2715" spans="1:10" ht="135" x14ac:dyDescent="0.25">
      <c r="A2715" s="2" t="s">
        <v>55</v>
      </c>
      <c r="B2715" s="2">
        <v>327.10000000000002</v>
      </c>
      <c r="C2715" s="2" t="s">
        <v>9001</v>
      </c>
      <c r="D2715" s="2" t="s">
        <v>9000</v>
      </c>
      <c r="E2715" s="2" t="s">
        <v>268</v>
      </c>
      <c r="F2715" s="3">
        <v>42451</v>
      </c>
      <c r="G2715" s="2" t="str">
        <f>"9780815727040"</f>
        <v>9780815727040</v>
      </c>
      <c r="H2715" s="2" t="s">
        <v>14</v>
      </c>
      <c r="I2715" s="4">
        <v>43228.668055555558</v>
      </c>
      <c r="J2715" s="2" t="s">
        <v>9002</v>
      </c>
    </row>
    <row r="2716" spans="1:10" ht="135" x14ac:dyDescent="0.25">
      <c r="A2716" s="2" t="s">
        <v>55</v>
      </c>
      <c r="B2716" s="2">
        <v>323.60973000000001</v>
      </c>
      <c r="C2716" s="2" t="s">
        <v>11128</v>
      </c>
      <c r="D2716" s="2" t="s">
        <v>11127</v>
      </c>
      <c r="E2716" s="2" t="s">
        <v>156</v>
      </c>
      <c r="F2716" s="3">
        <v>38596</v>
      </c>
      <c r="G2716" s="2" t="str">
        <f>"9781469611372"</f>
        <v>9781469611372</v>
      </c>
      <c r="H2716" s="2" t="s">
        <v>14</v>
      </c>
      <c r="I2716" s="4">
        <v>43015.798611111109</v>
      </c>
      <c r="J2716" s="2" t="s">
        <v>11129</v>
      </c>
    </row>
    <row r="2717" spans="1:10" ht="135" x14ac:dyDescent="0.25">
      <c r="A2717" s="2" t="s">
        <v>55</v>
      </c>
      <c r="D2717" s="2" t="s">
        <v>6884</v>
      </c>
      <c r="E2717" s="2" t="s">
        <v>268</v>
      </c>
      <c r="F2717" s="3">
        <v>43137</v>
      </c>
      <c r="G2717" s="2" t="str">
        <f>"9780815735243"</f>
        <v>9780815735243</v>
      </c>
      <c r="H2717" s="2" t="s">
        <v>14</v>
      </c>
      <c r="I2717" s="4">
        <v>43478.590277777781</v>
      </c>
      <c r="J2717" s="2" t="s">
        <v>6885</v>
      </c>
    </row>
    <row r="2718" spans="1:10" ht="135" x14ac:dyDescent="0.25">
      <c r="A2718" s="2" t="s">
        <v>55</v>
      </c>
      <c r="B2718" s="2">
        <v>327.12</v>
      </c>
      <c r="C2718" s="2" t="s">
        <v>8472</v>
      </c>
      <c r="D2718" s="2" t="s">
        <v>8471</v>
      </c>
      <c r="E2718" s="2" t="s">
        <v>54</v>
      </c>
      <c r="F2718" s="3">
        <v>41871</v>
      </c>
      <c r="G2718" s="2" t="str">
        <f>"9780804792691"</f>
        <v>9780804792691</v>
      </c>
      <c r="H2718" s="2" t="s">
        <v>14</v>
      </c>
      <c r="I2718" s="4">
        <v>43302.797222222223</v>
      </c>
      <c r="J2718" s="2" t="s">
        <v>8473</v>
      </c>
    </row>
    <row r="2719" spans="1:10" ht="135" x14ac:dyDescent="0.25">
      <c r="A2719" s="2" t="s">
        <v>55</v>
      </c>
      <c r="B2719" s="2" t="s">
        <v>4561</v>
      </c>
      <c r="C2719" s="2" t="s">
        <v>5841</v>
      </c>
      <c r="D2719" s="2" t="s">
        <v>5840</v>
      </c>
      <c r="E2719" s="2" t="s">
        <v>216</v>
      </c>
      <c r="F2719" s="3">
        <v>42278</v>
      </c>
      <c r="G2719" s="2" t="str">
        <f>"9781438457550"</f>
        <v>9781438457550</v>
      </c>
      <c r="H2719" s="2" t="s">
        <v>14</v>
      </c>
      <c r="I2719" s="4">
        <v>43565.752083333333</v>
      </c>
      <c r="J2719" s="2" t="s">
        <v>5842</v>
      </c>
    </row>
    <row r="2720" spans="1:10" ht="135" x14ac:dyDescent="0.25">
      <c r="A2720" s="2" t="s">
        <v>55</v>
      </c>
      <c r="B2720" s="2" t="s">
        <v>7096</v>
      </c>
      <c r="C2720" s="2" t="s">
        <v>7097</v>
      </c>
      <c r="D2720" s="2" t="s">
        <v>7094</v>
      </c>
      <c r="E2720" s="2" t="s">
        <v>7095</v>
      </c>
      <c r="F2720" s="3">
        <v>42826</v>
      </c>
      <c r="G2720" s="2" t="str">
        <f>"9781928096429"</f>
        <v>9781928096429</v>
      </c>
      <c r="H2720" s="2" t="s">
        <v>14</v>
      </c>
      <c r="I2720" s="4">
        <v>43447.813888888886</v>
      </c>
      <c r="J2720" s="2" t="s">
        <v>7098</v>
      </c>
    </row>
    <row r="2721" spans="1:10" ht="135" x14ac:dyDescent="0.25">
      <c r="A2721" s="2" t="s">
        <v>55</v>
      </c>
      <c r="B2721" s="2" t="s">
        <v>3913</v>
      </c>
      <c r="C2721" s="2" t="s">
        <v>3914</v>
      </c>
      <c r="D2721" s="2" t="s">
        <v>3912</v>
      </c>
      <c r="E2721" s="2" t="s">
        <v>397</v>
      </c>
      <c r="F2721" s="3">
        <v>43634</v>
      </c>
      <c r="G2721" s="2" t="str">
        <f>"9780822986904"</f>
        <v>9780822986904</v>
      </c>
      <c r="H2721" s="2" t="s">
        <v>14</v>
      </c>
      <c r="I2721" s="4">
        <v>43738.497916666667</v>
      </c>
      <c r="J2721" s="2" t="s">
        <v>3915</v>
      </c>
    </row>
    <row r="2722" spans="1:10" ht="135" x14ac:dyDescent="0.25">
      <c r="A2722" s="2" t="s">
        <v>55</v>
      </c>
      <c r="B2722" s="2">
        <v>320.60973000000001</v>
      </c>
      <c r="C2722" s="2" t="s">
        <v>2939</v>
      </c>
      <c r="D2722" s="2" t="s">
        <v>2938</v>
      </c>
      <c r="E2722" s="2" t="s">
        <v>268</v>
      </c>
      <c r="F2722" s="3">
        <v>42626</v>
      </c>
      <c r="G2722" s="2" t="str">
        <f>"9780815728320"</f>
        <v>9780815728320</v>
      </c>
      <c r="H2722" s="2" t="s">
        <v>14</v>
      </c>
      <c r="I2722" s="4">
        <v>43841.473611111112</v>
      </c>
      <c r="J2722" s="2" t="s">
        <v>2940</v>
      </c>
    </row>
    <row r="2723" spans="1:10" ht="150" x14ac:dyDescent="0.25">
      <c r="A2723" s="2" t="s">
        <v>55</v>
      </c>
      <c r="B2723" s="2" t="s">
        <v>10800</v>
      </c>
      <c r="C2723" s="2" t="s">
        <v>10801</v>
      </c>
      <c r="D2723" s="2" t="s">
        <v>10799</v>
      </c>
      <c r="E2723" s="2" t="s">
        <v>156</v>
      </c>
      <c r="F2723" s="3">
        <v>28856</v>
      </c>
      <c r="G2723" s="2" t="str">
        <f>"9781469611495"</f>
        <v>9781469611495</v>
      </c>
      <c r="H2723" s="2" t="s">
        <v>14</v>
      </c>
      <c r="I2723" s="4">
        <v>43035.626388888886</v>
      </c>
      <c r="J2723" s="2" t="s">
        <v>10802</v>
      </c>
    </row>
    <row r="2724" spans="1:10" ht="135" x14ac:dyDescent="0.25">
      <c r="A2724" s="2" t="s">
        <v>55</v>
      </c>
      <c r="B2724" s="2">
        <v>320.53096099999999</v>
      </c>
      <c r="C2724" s="2" t="s">
        <v>4280</v>
      </c>
      <c r="D2724" s="2" t="s">
        <v>4279</v>
      </c>
      <c r="E2724" s="2" t="s">
        <v>69</v>
      </c>
      <c r="F2724" s="3">
        <v>43559</v>
      </c>
      <c r="G2724" s="2" t="str">
        <f>"9780253040893"</f>
        <v>9780253040893</v>
      </c>
      <c r="H2724" s="2" t="s">
        <v>14</v>
      </c>
      <c r="I2724" s="4">
        <v>43685.617361111108</v>
      </c>
      <c r="J2724" s="2" t="s">
        <v>4281</v>
      </c>
    </row>
    <row r="2725" spans="1:10" ht="135" x14ac:dyDescent="0.25">
      <c r="A2725" s="2" t="s">
        <v>55</v>
      </c>
      <c r="B2725" s="2">
        <v>320.101</v>
      </c>
      <c r="C2725" s="2" t="s">
        <v>5258</v>
      </c>
      <c r="D2725" s="2" t="s">
        <v>5257</v>
      </c>
      <c r="E2725" s="2" t="s">
        <v>73</v>
      </c>
      <c r="F2725" s="3">
        <v>42931</v>
      </c>
      <c r="G2725" s="2" t="str">
        <f>"9781452955476"</f>
        <v>9781452955476</v>
      </c>
      <c r="H2725" s="2" t="s">
        <v>14</v>
      </c>
      <c r="I2725" s="4">
        <v>43606.604166666664</v>
      </c>
      <c r="J2725" s="2" t="s">
        <v>5259</v>
      </c>
    </row>
    <row r="2726" spans="1:10" ht="135" x14ac:dyDescent="0.25">
      <c r="A2726" s="2" t="s">
        <v>55</v>
      </c>
      <c r="B2726" s="2" t="s">
        <v>12739</v>
      </c>
      <c r="C2726" s="2" t="s">
        <v>12740</v>
      </c>
      <c r="D2726" s="2" t="s">
        <v>12738</v>
      </c>
      <c r="E2726" s="2" t="s">
        <v>156</v>
      </c>
      <c r="F2726" s="3">
        <v>41805</v>
      </c>
      <c r="G2726" s="2" t="str">
        <f>"9781469615608"</f>
        <v>9781469615608</v>
      </c>
      <c r="H2726" s="2" t="s">
        <v>14</v>
      </c>
      <c r="I2726" s="4">
        <v>42778.628472222219</v>
      </c>
      <c r="J2726" s="2" t="s">
        <v>12741</v>
      </c>
    </row>
    <row r="2727" spans="1:10" ht="135" x14ac:dyDescent="0.25">
      <c r="A2727" s="2" t="s">
        <v>55</v>
      </c>
      <c r="B2727" s="2">
        <v>320</v>
      </c>
      <c r="C2727" s="2" t="s">
        <v>265</v>
      </c>
      <c r="D2727" s="2" t="s">
        <v>1602</v>
      </c>
      <c r="E2727" s="2" t="s">
        <v>618</v>
      </c>
      <c r="F2727" s="3">
        <v>43018</v>
      </c>
      <c r="G2727" s="2" t="str">
        <f>"9781349952328"</f>
        <v>9781349952328</v>
      </c>
      <c r="H2727" s="2" t="s">
        <v>14</v>
      </c>
      <c r="I2727" s="4">
        <v>43935.71875</v>
      </c>
      <c r="J2727" s="2" t="s">
        <v>1603</v>
      </c>
    </row>
    <row r="2728" spans="1:10" ht="135" x14ac:dyDescent="0.25">
      <c r="A2728" s="2" t="s">
        <v>55</v>
      </c>
      <c r="B2728" s="2">
        <v>320.50972999999999</v>
      </c>
      <c r="C2728" s="2" t="s">
        <v>1679</v>
      </c>
      <c r="D2728" s="2" t="s">
        <v>1678</v>
      </c>
      <c r="E2728" s="2" t="s">
        <v>216</v>
      </c>
      <c r="F2728" s="3">
        <v>42401</v>
      </c>
      <c r="G2728" s="2" t="str">
        <f>"9781438459097"</f>
        <v>9781438459097</v>
      </c>
      <c r="H2728" s="2" t="s">
        <v>14</v>
      </c>
      <c r="I2728" s="4">
        <v>43933.52847222222</v>
      </c>
      <c r="J2728" s="2" t="s">
        <v>1680</v>
      </c>
    </row>
    <row r="2729" spans="1:10" ht="135" x14ac:dyDescent="0.25">
      <c r="A2729" s="2" t="s">
        <v>55</v>
      </c>
      <c r="D2729" s="2" t="s">
        <v>4091</v>
      </c>
      <c r="E2729" s="2" t="s">
        <v>2868</v>
      </c>
      <c r="F2729" s="3">
        <v>43770</v>
      </c>
      <c r="G2729" s="2" t="str">
        <f>"9781742244501"</f>
        <v>9781742244501</v>
      </c>
      <c r="H2729" s="2" t="s">
        <v>14</v>
      </c>
      <c r="I2729" s="4">
        <v>43713.46875</v>
      </c>
      <c r="J2729" s="2" t="s">
        <v>4092</v>
      </c>
    </row>
    <row r="2730" spans="1:10" ht="180" x14ac:dyDescent="0.25">
      <c r="A2730" s="2" t="s">
        <v>55</v>
      </c>
      <c r="B2730" s="2">
        <v>327.73056000000003</v>
      </c>
      <c r="C2730" s="2" t="s">
        <v>10311</v>
      </c>
      <c r="D2730" s="2" t="s">
        <v>10310</v>
      </c>
      <c r="E2730" s="2" t="s">
        <v>54</v>
      </c>
      <c r="F2730" s="3">
        <v>42389</v>
      </c>
      <c r="G2730" s="2" t="str">
        <f>"9780804796774"</f>
        <v>9780804796774</v>
      </c>
      <c r="H2730" s="2" t="s">
        <v>14</v>
      </c>
      <c r="I2730" s="4">
        <v>43070.931250000001</v>
      </c>
      <c r="J2730" s="2" t="s">
        <v>10312</v>
      </c>
    </row>
    <row r="2731" spans="1:10" ht="165" x14ac:dyDescent="0.25">
      <c r="A2731" s="2" t="s">
        <v>55</v>
      </c>
      <c r="B2731" s="2" t="s">
        <v>7658</v>
      </c>
      <c r="C2731" s="2" t="s">
        <v>7659</v>
      </c>
      <c r="D2731" s="2" t="s">
        <v>7657</v>
      </c>
      <c r="E2731" s="2" t="s">
        <v>907</v>
      </c>
      <c r="F2731" s="3">
        <v>42625</v>
      </c>
      <c r="G2731" s="2" t="str">
        <f>"9780997126457"</f>
        <v>9780997126457</v>
      </c>
      <c r="H2731" s="2" t="s">
        <v>14</v>
      </c>
      <c r="I2731" s="4">
        <v>43401.629861111112</v>
      </c>
      <c r="J2731" s="2" t="s">
        <v>7660</v>
      </c>
    </row>
    <row r="2732" spans="1:10" ht="135" x14ac:dyDescent="0.25">
      <c r="A2732" s="2" t="s">
        <v>55</v>
      </c>
      <c r="B2732" s="2">
        <v>321.8</v>
      </c>
      <c r="C2732" s="2" t="s">
        <v>2484</v>
      </c>
      <c r="D2732" s="2" t="s">
        <v>2483</v>
      </c>
      <c r="E2732" s="2" t="s">
        <v>322</v>
      </c>
      <c r="F2732" s="3">
        <v>43040</v>
      </c>
      <c r="G2732" s="2" t="str">
        <f>"9780820351506"</f>
        <v>9780820351506</v>
      </c>
      <c r="H2732" s="2" t="s">
        <v>14</v>
      </c>
      <c r="I2732" s="4">
        <v>43881.711111111108</v>
      </c>
      <c r="J2732" s="2" t="s">
        <v>2485</v>
      </c>
    </row>
    <row r="2733" spans="1:10" ht="135" x14ac:dyDescent="0.25">
      <c r="A2733" s="2" t="s">
        <v>55</v>
      </c>
      <c r="B2733" s="2">
        <v>327.51006999999998</v>
      </c>
      <c r="C2733" s="2" t="s">
        <v>11634</v>
      </c>
      <c r="D2733" s="2" t="s">
        <v>11633</v>
      </c>
      <c r="E2733" s="2" t="s">
        <v>328</v>
      </c>
      <c r="F2733" s="3">
        <v>41509</v>
      </c>
      <c r="G2733" s="2" t="str">
        <f>"9780739178515"</f>
        <v>9780739178515</v>
      </c>
      <c r="H2733" s="2" t="s">
        <v>14</v>
      </c>
      <c r="I2733" s="4">
        <v>42917.068749999999</v>
      </c>
      <c r="J2733" s="2" t="s">
        <v>11635</v>
      </c>
    </row>
    <row r="2734" spans="1:10" ht="135" x14ac:dyDescent="0.25">
      <c r="A2734" s="2" t="s">
        <v>55</v>
      </c>
      <c r="B2734" s="2">
        <v>320</v>
      </c>
      <c r="C2734" s="2" t="s">
        <v>265</v>
      </c>
      <c r="D2734" s="2" t="s">
        <v>4783</v>
      </c>
      <c r="E2734" s="2" t="s">
        <v>152</v>
      </c>
      <c r="F2734" s="3">
        <v>43010</v>
      </c>
      <c r="G2734" s="2" t="str">
        <f>"9789811059186"</f>
        <v>9789811059186</v>
      </c>
      <c r="H2734" s="2" t="s">
        <v>14</v>
      </c>
      <c r="I2734" s="4">
        <v>43626.992361111108</v>
      </c>
      <c r="J2734" s="2" t="s">
        <v>4784</v>
      </c>
    </row>
    <row r="2735" spans="1:10" ht="135" x14ac:dyDescent="0.25">
      <c r="A2735" s="2" t="s">
        <v>55</v>
      </c>
      <c r="B2735" s="2">
        <v>320.52097300000003</v>
      </c>
      <c r="C2735" s="2" t="s">
        <v>6723</v>
      </c>
      <c r="D2735" s="2" t="s">
        <v>6722</v>
      </c>
      <c r="E2735" s="2" t="s">
        <v>268</v>
      </c>
      <c r="F2735" s="3">
        <v>43312</v>
      </c>
      <c r="G2735" s="2" t="str">
        <f>"9780815732907"</f>
        <v>9780815732907</v>
      </c>
      <c r="H2735" s="2" t="s">
        <v>14</v>
      </c>
      <c r="I2735" s="4">
        <v>43493.521527777775</v>
      </c>
      <c r="J2735" s="2" t="s">
        <v>6724</v>
      </c>
    </row>
    <row r="2736" spans="1:10" ht="135" x14ac:dyDescent="0.25">
      <c r="A2736" s="2" t="s">
        <v>55</v>
      </c>
      <c r="B2736" s="2" t="s">
        <v>11599</v>
      </c>
      <c r="C2736" s="2" t="s">
        <v>11600</v>
      </c>
      <c r="D2736" s="2" t="s">
        <v>11598</v>
      </c>
      <c r="E2736" s="2" t="s">
        <v>4660</v>
      </c>
      <c r="F2736" s="3">
        <v>35075</v>
      </c>
      <c r="G2736" s="2" t="str">
        <f>"9780813147925"</f>
        <v>9780813147925</v>
      </c>
      <c r="H2736" s="2" t="s">
        <v>14</v>
      </c>
      <c r="I2736" s="4">
        <v>42921.718055555553</v>
      </c>
      <c r="J2736" s="2" t="s">
        <v>11601</v>
      </c>
    </row>
    <row r="2737" spans="1:10" ht="135" x14ac:dyDescent="0.25">
      <c r="A2737" s="2" t="s">
        <v>55</v>
      </c>
      <c r="B2737" s="2">
        <v>320.96209021999999</v>
      </c>
      <c r="C2737" s="2" t="s">
        <v>12433</v>
      </c>
      <c r="D2737" s="2" t="s">
        <v>12432</v>
      </c>
      <c r="E2737" s="2" t="s">
        <v>180</v>
      </c>
      <c r="F2737" s="3">
        <v>42500</v>
      </c>
      <c r="G2737" s="2" t="str">
        <f>"9781479839087"</f>
        <v>9781479839087</v>
      </c>
      <c r="H2737" s="2" t="s">
        <v>14</v>
      </c>
      <c r="I2737" s="4">
        <v>42807.135416666664</v>
      </c>
      <c r="J2737" s="2" t="s">
        <v>12434</v>
      </c>
    </row>
    <row r="2738" spans="1:10" ht="210" x14ac:dyDescent="0.25">
      <c r="A2738" s="2" t="s">
        <v>55</v>
      </c>
      <c r="B2738" s="2" t="s">
        <v>4521</v>
      </c>
      <c r="C2738" s="2" t="s">
        <v>4522</v>
      </c>
      <c r="D2738" s="2" t="s">
        <v>4520</v>
      </c>
      <c r="E2738" s="2" t="s">
        <v>156</v>
      </c>
      <c r="F2738" s="3">
        <v>42499</v>
      </c>
      <c r="G2738" s="2" t="str">
        <f>"9781469627366"</f>
        <v>9781469627366</v>
      </c>
      <c r="H2738" s="2" t="s">
        <v>14</v>
      </c>
      <c r="I2738" s="4">
        <v>43655.492361111108</v>
      </c>
      <c r="J2738" s="2" t="s">
        <v>4523</v>
      </c>
    </row>
    <row r="2739" spans="1:10" ht="150" x14ac:dyDescent="0.25">
      <c r="A2739" s="2" t="s">
        <v>55</v>
      </c>
      <c r="D2739" s="2" t="s">
        <v>53</v>
      </c>
      <c r="E2739" s="2" t="s">
        <v>54</v>
      </c>
      <c r="F2739" s="3">
        <v>43900</v>
      </c>
      <c r="G2739" s="2" t="str">
        <f>"9781503611900"</f>
        <v>9781503611900</v>
      </c>
      <c r="H2739" s="2" t="s">
        <v>14</v>
      </c>
      <c r="I2739" s="4">
        <v>44074.677083333336</v>
      </c>
      <c r="J2739" s="2" t="s">
        <v>56</v>
      </c>
    </row>
    <row r="2740" spans="1:10" ht="135" x14ac:dyDescent="0.25">
      <c r="A2740" s="2" t="s">
        <v>55</v>
      </c>
      <c r="B2740" s="2">
        <v>320.10000000000002</v>
      </c>
      <c r="C2740" s="2" t="s">
        <v>7907</v>
      </c>
      <c r="D2740" s="2" t="s">
        <v>7906</v>
      </c>
      <c r="E2740" s="2" t="s">
        <v>390</v>
      </c>
      <c r="F2740" s="3">
        <v>43189</v>
      </c>
      <c r="G2740" s="2" t="str">
        <f>"9780268103033"</f>
        <v>9780268103033</v>
      </c>
      <c r="H2740" s="2" t="s">
        <v>14</v>
      </c>
      <c r="I2740" s="4">
        <v>43377.509722222225</v>
      </c>
      <c r="J2740" s="2" t="s">
        <v>7908</v>
      </c>
    </row>
    <row r="2741" spans="1:10" ht="135" x14ac:dyDescent="0.25">
      <c r="A2741" s="2" t="s">
        <v>55</v>
      </c>
      <c r="B2741" s="2">
        <v>327.2</v>
      </c>
      <c r="C2741" s="2" t="s">
        <v>11810</v>
      </c>
      <c r="D2741" s="2" t="s">
        <v>11809</v>
      </c>
      <c r="E2741" s="2" t="s">
        <v>54</v>
      </c>
      <c r="F2741" s="3">
        <v>42249</v>
      </c>
      <c r="G2741" s="2" t="str">
        <f>"9780804796323"</f>
        <v>9780804796323</v>
      </c>
      <c r="H2741" s="2" t="s">
        <v>14</v>
      </c>
      <c r="I2741" s="4">
        <v>42887.724999999999</v>
      </c>
      <c r="J2741" s="2" t="s">
        <v>11811</v>
      </c>
    </row>
    <row r="2742" spans="1:10" ht="150" x14ac:dyDescent="0.25">
      <c r="A2742" s="2" t="s">
        <v>55</v>
      </c>
      <c r="B2742" s="2">
        <v>327</v>
      </c>
      <c r="C2742" s="2" t="s">
        <v>6779</v>
      </c>
      <c r="D2742" s="2" t="s">
        <v>6778</v>
      </c>
      <c r="E2742" s="2" t="s">
        <v>499</v>
      </c>
      <c r="F2742" s="3">
        <v>42852</v>
      </c>
      <c r="G2742" s="2" t="str">
        <f>"9781626164444"</f>
        <v>9781626164444</v>
      </c>
      <c r="H2742" s="2" t="s">
        <v>14</v>
      </c>
      <c r="I2742" s="4">
        <v>43487.380555555559</v>
      </c>
      <c r="J2742" s="2" t="s">
        <v>6780</v>
      </c>
    </row>
    <row r="2743" spans="1:10" ht="135" x14ac:dyDescent="0.25">
      <c r="A2743" s="2" t="s">
        <v>55</v>
      </c>
      <c r="B2743" s="2" t="s">
        <v>11975</v>
      </c>
      <c r="C2743" s="2" t="s">
        <v>11976</v>
      </c>
      <c r="D2743" s="2" t="s">
        <v>11973</v>
      </c>
      <c r="E2743" s="2" t="s">
        <v>11974</v>
      </c>
      <c r="F2743" s="3">
        <v>41954</v>
      </c>
      <c r="G2743" s="2" t="str">
        <f>"9781939709431"</f>
        <v>9781939709431</v>
      </c>
      <c r="H2743" s="2" t="s">
        <v>14</v>
      </c>
      <c r="I2743" s="4">
        <v>42866.425000000003</v>
      </c>
      <c r="J2743" s="2" t="s">
        <v>11977</v>
      </c>
    </row>
    <row r="2744" spans="1:10" ht="135" x14ac:dyDescent="0.25">
      <c r="A2744" s="2" t="s">
        <v>55</v>
      </c>
      <c r="B2744" s="2">
        <v>327.47039999999998</v>
      </c>
      <c r="C2744" s="2" t="s">
        <v>265</v>
      </c>
      <c r="D2744" s="2" t="s">
        <v>10459</v>
      </c>
      <c r="E2744" s="2" t="s">
        <v>37</v>
      </c>
      <c r="F2744" s="3">
        <v>42597</v>
      </c>
      <c r="G2744" s="2" t="str">
        <f>"9783319325309"</f>
        <v>9783319325309</v>
      </c>
      <c r="H2744" s="2" t="s">
        <v>14</v>
      </c>
      <c r="I2744" s="4">
        <v>43055.539583333331</v>
      </c>
      <c r="J2744" s="2" t="s">
        <v>10460</v>
      </c>
    </row>
    <row r="2745" spans="1:10" ht="150" x14ac:dyDescent="0.25">
      <c r="A2745" s="2" t="s">
        <v>55</v>
      </c>
      <c r="B2745" s="2">
        <v>325.10000000000002</v>
      </c>
      <c r="C2745" s="2" t="s">
        <v>5991</v>
      </c>
      <c r="D2745" s="2" t="s">
        <v>5990</v>
      </c>
      <c r="E2745" s="2" t="s">
        <v>216</v>
      </c>
      <c r="F2745" s="3">
        <v>43070</v>
      </c>
      <c r="G2745" s="2" t="str">
        <f>"9781438466897"</f>
        <v>9781438466897</v>
      </c>
      <c r="H2745" s="2" t="s">
        <v>14</v>
      </c>
      <c r="I2745" s="4">
        <v>43551.525694444441</v>
      </c>
      <c r="J2745" s="2" t="s">
        <v>5992</v>
      </c>
    </row>
    <row r="2746" spans="1:10" ht="135" x14ac:dyDescent="0.25">
      <c r="A2746" s="2" t="s">
        <v>55</v>
      </c>
      <c r="B2746" s="2">
        <v>320.54095694092001</v>
      </c>
      <c r="D2746" s="2" t="s">
        <v>387</v>
      </c>
      <c r="E2746" s="2" t="s">
        <v>69</v>
      </c>
      <c r="F2746" s="3">
        <v>43956</v>
      </c>
      <c r="G2746" s="2" t="str">
        <f>"9780253047717"</f>
        <v>9780253047717</v>
      </c>
      <c r="H2746" s="2" t="s">
        <v>14</v>
      </c>
      <c r="I2746" s="4">
        <v>44027.756944444445</v>
      </c>
      <c r="J2746" s="2" t="s">
        <v>388</v>
      </c>
    </row>
    <row r="2747" spans="1:10" ht="135" x14ac:dyDescent="0.25">
      <c r="A2747" s="2" t="s">
        <v>55</v>
      </c>
      <c r="B2747" s="2" t="s">
        <v>8408</v>
      </c>
      <c r="C2747" s="2" t="s">
        <v>8409</v>
      </c>
      <c r="D2747" s="2" t="s">
        <v>8407</v>
      </c>
      <c r="E2747" s="2" t="s">
        <v>54</v>
      </c>
      <c r="F2747" s="3">
        <v>42151</v>
      </c>
      <c r="G2747" s="2" t="str">
        <f>"9780804795883"</f>
        <v>9780804795883</v>
      </c>
      <c r="H2747" s="2" t="s">
        <v>14</v>
      </c>
      <c r="I2747" s="4">
        <v>43312.408333333333</v>
      </c>
      <c r="J2747" s="2" t="s">
        <v>8410</v>
      </c>
    </row>
    <row r="2748" spans="1:10" ht="135" x14ac:dyDescent="0.25">
      <c r="A2748" s="2" t="s">
        <v>55</v>
      </c>
      <c r="B2748" s="2" t="s">
        <v>11212</v>
      </c>
      <c r="C2748" s="2" t="s">
        <v>11213</v>
      </c>
      <c r="D2748" s="2" t="s">
        <v>11211</v>
      </c>
      <c r="E2748" s="2" t="s">
        <v>6704</v>
      </c>
      <c r="F2748" s="3">
        <v>42376</v>
      </c>
      <c r="G2748" s="2" t="str">
        <f>"9781501701887"</f>
        <v>9781501701887</v>
      </c>
      <c r="H2748" s="2" t="s">
        <v>14</v>
      </c>
      <c r="I2748" s="4">
        <v>43006.613194444442</v>
      </c>
      <c r="J2748" s="2" t="s">
        <v>11214</v>
      </c>
    </row>
    <row r="2749" spans="1:10" ht="135" x14ac:dyDescent="0.25">
      <c r="A2749" s="2" t="s">
        <v>55</v>
      </c>
      <c r="D2749" s="2" t="s">
        <v>10171</v>
      </c>
      <c r="E2749" s="2" t="s">
        <v>10172</v>
      </c>
      <c r="F2749" s="3">
        <v>43069</v>
      </c>
      <c r="G2749" s="2" t="str">
        <f>"9789264282308"</f>
        <v>9789264282308</v>
      </c>
      <c r="H2749" s="2" t="s">
        <v>14</v>
      </c>
      <c r="I2749" s="4">
        <v>43088.458333333336</v>
      </c>
      <c r="J2749" s="2" t="s">
        <v>10173</v>
      </c>
    </row>
    <row r="2750" spans="1:10" ht="135" x14ac:dyDescent="0.25">
      <c r="A2750" s="2" t="s">
        <v>55</v>
      </c>
      <c r="B2750" s="2" t="s">
        <v>3200</v>
      </c>
      <c r="C2750" s="2" t="s">
        <v>3201</v>
      </c>
      <c r="D2750" s="2" t="s">
        <v>3199</v>
      </c>
      <c r="E2750" s="2" t="s">
        <v>54</v>
      </c>
      <c r="F2750" s="3">
        <v>43151</v>
      </c>
      <c r="G2750" s="2" t="str">
        <f>"9781503604551"</f>
        <v>9781503604551</v>
      </c>
      <c r="H2750" s="2" t="s">
        <v>14</v>
      </c>
      <c r="I2750" s="4">
        <v>43798.752083333333</v>
      </c>
      <c r="J2750" s="2" t="s">
        <v>3202</v>
      </c>
    </row>
    <row r="2751" spans="1:10" ht="135" x14ac:dyDescent="0.25">
      <c r="A2751" s="2" t="s">
        <v>3572</v>
      </c>
      <c r="B2751" s="2">
        <v>382.91419999999999</v>
      </c>
      <c r="C2751" s="2" t="s">
        <v>265</v>
      </c>
      <c r="D2751" s="2" t="s">
        <v>6160</v>
      </c>
      <c r="E2751" s="2" t="s">
        <v>17</v>
      </c>
      <c r="F2751" s="3">
        <v>41688</v>
      </c>
      <c r="G2751" s="2" t="str">
        <f>"9781137331663"</f>
        <v>9781137331663</v>
      </c>
      <c r="H2751" s="2" t="s">
        <v>14</v>
      </c>
      <c r="I2751" s="4">
        <v>43535.716666666667</v>
      </c>
      <c r="J2751" s="2" t="s">
        <v>6161</v>
      </c>
    </row>
    <row r="2752" spans="1:10" ht="135" x14ac:dyDescent="0.25">
      <c r="A2752" s="2" t="s">
        <v>3572</v>
      </c>
      <c r="B2752" s="2" t="s">
        <v>3573</v>
      </c>
      <c r="C2752" s="2" t="s">
        <v>3574</v>
      </c>
      <c r="D2752" s="2" t="s">
        <v>3571</v>
      </c>
      <c r="E2752" s="2" t="s">
        <v>54</v>
      </c>
      <c r="F2752" s="3">
        <v>42885</v>
      </c>
      <c r="G2752" s="2" t="str">
        <f>"9781503601994"</f>
        <v>9781503601994</v>
      </c>
      <c r="H2752" s="2" t="s">
        <v>14</v>
      </c>
      <c r="I2752" s="4">
        <v>43773.883333333331</v>
      </c>
      <c r="J2752" s="2" t="s">
        <v>3575</v>
      </c>
    </row>
    <row r="2753" spans="1:10" ht="150" x14ac:dyDescent="0.25">
      <c r="A2753" s="2" t="s">
        <v>3572</v>
      </c>
      <c r="B2753" s="2">
        <v>324.082097293</v>
      </c>
      <c r="C2753" s="2" t="s">
        <v>8305</v>
      </c>
      <c r="D2753" s="2" t="s">
        <v>8304</v>
      </c>
      <c r="E2753" s="2" t="s">
        <v>130</v>
      </c>
      <c r="F2753" s="3">
        <v>42843</v>
      </c>
      <c r="G2753" s="2" t="str">
        <f>"9780813052755"</f>
        <v>9780813052755</v>
      </c>
      <c r="H2753" s="2" t="s">
        <v>14</v>
      </c>
      <c r="I2753" s="4">
        <v>43324.404861111114</v>
      </c>
      <c r="J2753" s="2" t="s">
        <v>8306</v>
      </c>
    </row>
    <row r="2754" spans="1:10" ht="135" x14ac:dyDescent="0.25">
      <c r="A2754" s="2" t="s">
        <v>4094</v>
      </c>
      <c r="B2754" s="2" t="s">
        <v>4095</v>
      </c>
      <c r="C2754" s="2" t="s">
        <v>4096</v>
      </c>
      <c r="D2754" s="2" t="s">
        <v>4093</v>
      </c>
      <c r="E2754" s="2" t="s">
        <v>54</v>
      </c>
      <c r="F2754" s="3">
        <v>43375</v>
      </c>
      <c r="G2754" s="2" t="str">
        <f>"9781503607361"</f>
        <v>9781503607361</v>
      </c>
      <c r="H2754" s="2" t="s">
        <v>14</v>
      </c>
      <c r="I2754" s="4">
        <v>43713.436111111114</v>
      </c>
      <c r="J2754" s="2" t="s">
        <v>4097</v>
      </c>
    </row>
    <row r="2755" spans="1:10" ht="135" x14ac:dyDescent="0.25">
      <c r="A2755" s="2" t="s">
        <v>4094</v>
      </c>
      <c r="B2755" s="2">
        <v>330.12209730000001</v>
      </c>
      <c r="C2755" s="2" t="s">
        <v>265</v>
      </c>
      <c r="D2755" s="2" t="s">
        <v>7245</v>
      </c>
      <c r="E2755" s="2" t="s">
        <v>37</v>
      </c>
      <c r="F2755" s="3">
        <v>42913</v>
      </c>
      <c r="G2755" s="2" t="str">
        <f>"9783319555928"</f>
        <v>9783319555928</v>
      </c>
      <c r="H2755" s="2" t="s">
        <v>14</v>
      </c>
      <c r="I2755" s="4">
        <v>43431.490277777775</v>
      </c>
      <c r="J2755" s="2" t="s">
        <v>7246</v>
      </c>
    </row>
    <row r="2756" spans="1:10" ht="135" x14ac:dyDescent="0.25">
      <c r="A2756" s="2" t="s">
        <v>8616</v>
      </c>
      <c r="B2756" s="2">
        <v>320.50951930000002</v>
      </c>
      <c r="C2756" s="2" t="s">
        <v>8617</v>
      </c>
      <c r="D2756" s="2" t="s">
        <v>8615</v>
      </c>
      <c r="E2756" s="2" t="s">
        <v>328</v>
      </c>
      <c r="F2756" s="3">
        <v>41955</v>
      </c>
      <c r="G2756" s="2" t="str">
        <f>"9780739187784"</f>
        <v>9780739187784</v>
      </c>
      <c r="H2756" s="2" t="s">
        <v>14</v>
      </c>
      <c r="I2756" s="4">
        <v>43281.677777777775</v>
      </c>
      <c r="J2756" s="2" t="s">
        <v>8618</v>
      </c>
    </row>
    <row r="2757" spans="1:10" ht="135" x14ac:dyDescent="0.25">
      <c r="A2757" s="2" t="s">
        <v>7626</v>
      </c>
      <c r="B2757" s="2" t="s">
        <v>7627</v>
      </c>
      <c r="C2757" s="2" t="s">
        <v>7628</v>
      </c>
      <c r="D2757" s="2" t="s">
        <v>7625</v>
      </c>
      <c r="E2757" s="2" t="s">
        <v>216</v>
      </c>
      <c r="F2757" s="3">
        <v>42095</v>
      </c>
      <c r="G2757" s="2" t="str">
        <f>"9781438454900"</f>
        <v>9781438454900</v>
      </c>
      <c r="H2757" s="2" t="s">
        <v>14</v>
      </c>
      <c r="I2757" s="4">
        <v>43404.374305555553</v>
      </c>
      <c r="J2757" s="2" t="s">
        <v>7629</v>
      </c>
    </row>
    <row r="2758" spans="1:10" ht="150" x14ac:dyDescent="0.25">
      <c r="A2758" s="2" t="s">
        <v>231</v>
      </c>
      <c r="B2758" s="2">
        <v>323.11960730904002</v>
      </c>
      <c r="C2758" s="2" t="s">
        <v>5668</v>
      </c>
      <c r="D2758" s="2" t="s">
        <v>10092</v>
      </c>
      <c r="E2758" s="2" t="s">
        <v>531</v>
      </c>
      <c r="F2758" s="3">
        <v>42250</v>
      </c>
      <c r="G2758" s="2" t="str">
        <f>"9780809334278"</f>
        <v>9780809334278</v>
      </c>
      <c r="H2758" s="2" t="s">
        <v>14</v>
      </c>
      <c r="I2758" s="4">
        <v>43104.404166666667</v>
      </c>
      <c r="J2758" s="2" t="s">
        <v>10093</v>
      </c>
    </row>
    <row r="2759" spans="1:10" ht="135" x14ac:dyDescent="0.25">
      <c r="A2759" s="2" t="s">
        <v>231</v>
      </c>
      <c r="B2759" s="2" t="s">
        <v>6048</v>
      </c>
      <c r="C2759" s="2" t="s">
        <v>6049</v>
      </c>
      <c r="D2759" s="2" t="s">
        <v>6047</v>
      </c>
      <c r="E2759" s="2" t="s">
        <v>73</v>
      </c>
      <c r="F2759" s="3">
        <v>41913</v>
      </c>
      <c r="G2759" s="2" t="str">
        <f>"9781452942124"</f>
        <v>9781452942124</v>
      </c>
      <c r="H2759" s="2" t="s">
        <v>14</v>
      </c>
      <c r="I2759" s="4">
        <v>43545.436111111114</v>
      </c>
      <c r="J2759" s="2" t="s">
        <v>6050</v>
      </c>
    </row>
    <row r="2760" spans="1:10" ht="165" x14ac:dyDescent="0.25">
      <c r="A2760" s="2" t="s">
        <v>231</v>
      </c>
      <c r="B2760" s="2" t="s">
        <v>11307</v>
      </c>
      <c r="C2760" s="2" t="s">
        <v>1369</v>
      </c>
      <c r="D2760" s="2" t="s">
        <v>11840</v>
      </c>
      <c r="E2760" s="2" t="s">
        <v>54</v>
      </c>
      <c r="F2760" s="3">
        <v>42011</v>
      </c>
      <c r="G2760" s="2" t="str">
        <f>"9780804793483"</f>
        <v>9780804793483</v>
      </c>
      <c r="H2760" s="2" t="s">
        <v>14</v>
      </c>
      <c r="I2760" s="4">
        <v>42882.882638888892</v>
      </c>
      <c r="J2760" s="2" t="s">
        <v>11841</v>
      </c>
    </row>
    <row r="2761" spans="1:10" ht="165" x14ac:dyDescent="0.25">
      <c r="A2761" s="2" t="s">
        <v>231</v>
      </c>
      <c r="B2761" s="2" t="s">
        <v>7269</v>
      </c>
      <c r="C2761" s="2" t="s">
        <v>12032</v>
      </c>
      <c r="D2761" s="2" t="s">
        <v>12922</v>
      </c>
      <c r="E2761" s="2" t="s">
        <v>578</v>
      </c>
      <c r="F2761" s="3">
        <v>42030</v>
      </c>
      <c r="G2761" s="2" t="str">
        <f>"9780252096839"</f>
        <v>9780252096839</v>
      </c>
      <c r="H2761" s="2" t="s">
        <v>14</v>
      </c>
      <c r="I2761" s="4">
        <v>42758.675000000003</v>
      </c>
      <c r="J2761" s="2" t="s">
        <v>12923</v>
      </c>
    </row>
    <row r="2762" spans="1:10" ht="135" x14ac:dyDescent="0.25">
      <c r="A2762" s="2" t="s">
        <v>231</v>
      </c>
      <c r="B2762" s="2" t="s">
        <v>11798</v>
      </c>
      <c r="C2762" s="2" t="s">
        <v>11799</v>
      </c>
      <c r="D2762" s="2" t="s">
        <v>11797</v>
      </c>
      <c r="E2762" s="2" t="s">
        <v>73</v>
      </c>
      <c r="F2762" s="3">
        <v>41883</v>
      </c>
      <c r="G2762" s="2" t="str">
        <f>"9781452942513"</f>
        <v>9781452942513</v>
      </c>
      <c r="H2762" s="2" t="s">
        <v>14</v>
      </c>
      <c r="I2762" s="4">
        <v>42889.481249999997</v>
      </c>
      <c r="J2762" s="2" t="s">
        <v>11800</v>
      </c>
    </row>
    <row r="2763" spans="1:10" ht="165" x14ac:dyDescent="0.25">
      <c r="A2763" s="2" t="s">
        <v>231</v>
      </c>
      <c r="B2763" s="2">
        <v>323.09199999999998</v>
      </c>
      <c r="C2763" s="2" t="s">
        <v>4068</v>
      </c>
      <c r="D2763" s="2" t="s">
        <v>4067</v>
      </c>
      <c r="E2763" s="2" t="s">
        <v>216</v>
      </c>
      <c r="F2763" s="3">
        <v>41944</v>
      </c>
      <c r="G2763" s="2" t="str">
        <f>"9781438451169"</f>
        <v>9781438451169</v>
      </c>
      <c r="H2763" s="2" t="s">
        <v>14</v>
      </c>
      <c r="I2763" s="4">
        <v>43718.875694444447</v>
      </c>
      <c r="J2763" s="2" t="s">
        <v>4069</v>
      </c>
    </row>
    <row r="2764" spans="1:10" ht="150" x14ac:dyDescent="0.25">
      <c r="A2764" s="2" t="s">
        <v>231</v>
      </c>
      <c r="B2764" s="2">
        <v>327.17470954909999</v>
      </c>
      <c r="C2764" s="2" t="s">
        <v>20</v>
      </c>
      <c r="D2764" s="2" t="s">
        <v>7102</v>
      </c>
      <c r="E2764" s="2" t="s">
        <v>37</v>
      </c>
      <c r="F2764" s="3">
        <v>42926</v>
      </c>
      <c r="G2764" s="2" t="str">
        <f>"9783319518800"</f>
        <v>9783319518800</v>
      </c>
      <c r="H2764" s="2" t="s">
        <v>14</v>
      </c>
      <c r="I2764" s="4">
        <v>43447.577777777777</v>
      </c>
      <c r="J2764" s="2" t="s">
        <v>7103</v>
      </c>
    </row>
    <row r="2765" spans="1:10" ht="135" x14ac:dyDescent="0.25">
      <c r="A2765" s="2" t="s">
        <v>231</v>
      </c>
      <c r="B2765" s="2">
        <v>968.06</v>
      </c>
      <c r="C2765" s="2" t="s">
        <v>4569</v>
      </c>
      <c r="D2765" s="2" t="s">
        <v>12899</v>
      </c>
      <c r="E2765" s="2" t="s">
        <v>54</v>
      </c>
      <c r="F2765" s="3">
        <v>42655</v>
      </c>
      <c r="G2765" s="2" t="str">
        <f>"9780804799836"</f>
        <v>9780804799836</v>
      </c>
      <c r="H2765" s="2" t="s">
        <v>14</v>
      </c>
      <c r="I2765" s="4">
        <v>42761.645833333336</v>
      </c>
      <c r="J2765" s="2" t="s">
        <v>12900</v>
      </c>
    </row>
    <row r="2766" spans="1:10" ht="210" x14ac:dyDescent="0.25">
      <c r="A2766" s="2" t="s">
        <v>231</v>
      </c>
      <c r="B2766" s="2" t="s">
        <v>7577</v>
      </c>
      <c r="C2766" s="2" t="s">
        <v>7578</v>
      </c>
      <c r="D2766" s="2" t="s">
        <v>7576</v>
      </c>
      <c r="E2766" s="2" t="s">
        <v>156</v>
      </c>
      <c r="F2766" s="3">
        <v>41785</v>
      </c>
      <c r="G2766" s="2" t="str">
        <f>"9781469615547"</f>
        <v>9781469615547</v>
      </c>
      <c r="H2766" s="2" t="s">
        <v>14</v>
      </c>
      <c r="I2766" s="4">
        <v>43407.790277777778</v>
      </c>
      <c r="J2766" s="2" t="s">
        <v>7579</v>
      </c>
    </row>
    <row r="2767" spans="1:10" ht="135" x14ac:dyDescent="0.25">
      <c r="A2767" s="2" t="s">
        <v>231</v>
      </c>
      <c r="B2767" s="2">
        <v>327.51</v>
      </c>
      <c r="C2767" s="2" t="s">
        <v>2334</v>
      </c>
      <c r="D2767" s="2" t="s">
        <v>2333</v>
      </c>
      <c r="E2767" s="2" t="s">
        <v>499</v>
      </c>
      <c r="F2767" s="3">
        <v>43405</v>
      </c>
      <c r="G2767" s="2" t="str">
        <f>"9781626166158"</f>
        <v>9781626166158</v>
      </c>
      <c r="H2767" s="2" t="s">
        <v>14</v>
      </c>
      <c r="I2767" s="4">
        <v>43892.67083333333</v>
      </c>
      <c r="J2767" s="2" t="s">
        <v>2335</v>
      </c>
    </row>
    <row r="2768" spans="1:10" ht="165" x14ac:dyDescent="0.25">
      <c r="A2768" s="2" t="s">
        <v>231</v>
      </c>
      <c r="B2768" s="2">
        <v>327.51049999999998</v>
      </c>
      <c r="C2768" s="2" t="s">
        <v>6069</v>
      </c>
      <c r="D2768" s="2" t="s">
        <v>6068</v>
      </c>
      <c r="E2768" s="2" t="s">
        <v>54</v>
      </c>
      <c r="F2768" s="3">
        <v>42158</v>
      </c>
      <c r="G2768" s="2" t="str">
        <f>"9780804795043"</f>
        <v>9780804795043</v>
      </c>
      <c r="H2768" s="2" t="s">
        <v>14</v>
      </c>
      <c r="I2768" s="4">
        <v>43543.34097222222</v>
      </c>
      <c r="J2768" s="2" t="s">
        <v>6070</v>
      </c>
    </row>
    <row r="2769" spans="1:10" ht="135" x14ac:dyDescent="0.25">
      <c r="A2769" s="2" t="s">
        <v>231</v>
      </c>
      <c r="B2769" s="2">
        <v>327.54000000000002</v>
      </c>
      <c r="C2769" s="2" t="s">
        <v>8469</v>
      </c>
      <c r="D2769" s="2" t="s">
        <v>8468</v>
      </c>
      <c r="E2769" s="2" t="s">
        <v>268</v>
      </c>
      <c r="F2769" s="3">
        <v>42661</v>
      </c>
      <c r="G2769" s="2" t="str">
        <f>"9780815729112"</f>
        <v>9780815729112</v>
      </c>
      <c r="H2769" s="2" t="s">
        <v>14</v>
      </c>
      <c r="I2769" s="4">
        <v>43303.59097222222</v>
      </c>
      <c r="J2769" s="2" t="s">
        <v>8470</v>
      </c>
    </row>
    <row r="2770" spans="1:10" ht="135" x14ac:dyDescent="0.25">
      <c r="A2770" s="2" t="s">
        <v>231</v>
      </c>
      <c r="B2770" s="2" t="s">
        <v>7351</v>
      </c>
      <c r="C2770" s="2" t="s">
        <v>7352</v>
      </c>
      <c r="D2770" s="2" t="s">
        <v>7350</v>
      </c>
      <c r="E2770" s="2" t="s">
        <v>73</v>
      </c>
      <c r="F2770" s="3">
        <v>41974</v>
      </c>
      <c r="G2770" s="2" t="str">
        <f>"9781452943695"</f>
        <v>9781452943695</v>
      </c>
      <c r="H2770" s="2" t="s">
        <v>14</v>
      </c>
      <c r="I2770" s="4">
        <v>43424.477777777778</v>
      </c>
      <c r="J2770" s="2" t="s">
        <v>7353</v>
      </c>
    </row>
    <row r="2771" spans="1:10" ht="135" x14ac:dyDescent="0.25">
      <c r="A2771" s="2" t="s">
        <v>231</v>
      </c>
      <c r="B2771" s="2">
        <v>323.119607309034</v>
      </c>
      <c r="C2771" s="2" t="s">
        <v>10065</v>
      </c>
      <c r="D2771" s="2" t="s">
        <v>10064</v>
      </c>
      <c r="E2771" s="2" t="s">
        <v>156</v>
      </c>
      <c r="F2771" s="3">
        <v>42702</v>
      </c>
      <c r="G2771" s="2" t="str">
        <f>"9781469628592"</f>
        <v>9781469628592</v>
      </c>
      <c r="H2771" s="2" t="s">
        <v>14</v>
      </c>
      <c r="I2771" s="4">
        <v>43106.40902777778</v>
      </c>
      <c r="J2771" s="2" t="s">
        <v>10066</v>
      </c>
    </row>
    <row r="2772" spans="1:10" ht="165" x14ac:dyDescent="0.25">
      <c r="A2772" s="2" t="s">
        <v>231</v>
      </c>
      <c r="B2772" s="2">
        <v>327.73043999999999</v>
      </c>
      <c r="C2772" s="2" t="s">
        <v>4002</v>
      </c>
      <c r="D2772" s="2" t="s">
        <v>4001</v>
      </c>
      <c r="E2772" s="2" t="s">
        <v>156</v>
      </c>
      <c r="F2772" s="3">
        <v>41974</v>
      </c>
      <c r="G2772" s="2" t="str">
        <f>"9781469602950"</f>
        <v>9781469602950</v>
      </c>
      <c r="H2772" s="2" t="s">
        <v>14</v>
      </c>
      <c r="I2772" s="4">
        <v>43728.361111111109</v>
      </c>
      <c r="J2772" s="2" t="s">
        <v>4003</v>
      </c>
    </row>
    <row r="2773" spans="1:10" ht="165" x14ac:dyDescent="0.25">
      <c r="A2773" s="2" t="s">
        <v>231</v>
      </c>
      <c r="B2773" s="2">
        <v>328.73092000000003</v>
      </c>
      <c r="C2773" s="2" t="s">
        <v>4453</v>
      </c>
      <c r="D2773" s="2" t="s">
        <v>4452</v>
      </c>
      <c r="E2773" s="2" t="s">
        <v>130</v>
      </c>
      <c r="F2773" s="3">
        <v>41667</v>
      </c>
      <c r="G2773" s="2" t="str">
        <f>"9780813048987"</f>
        <v>9780813048987</v>
      </c>
      <c r="H2773" s="2" t="s">
        <v>14</v>
      </c>
      <c r="I2773" s="4">
        <v>43667.854166666664</v>
      </c>
      <c r="J2773" s="2" t="s">
        <v>4454</v>
      </c>
    </row>
    <row r="2774" spans="1:10" ht="135" x14ac:dyDescent="0.25">
      <c r="A2774" s="2" t="s">
        <v>231</v>
      </c>
      <c r="B2774" s="2">
        <v>327.73052000000001</v>
      </c>
      <c r="C2774" s="2" t="s">
        <v>9532</v>
      </c>
      <c r="D2774" s="2" t="s">
        <v>9531</v>
      </c>
      <c r="E2774" s="2" t="s">
        <v>156</v>
      </c>
      <c r="F2774" s="3">
        <v>43017</v>
      </c>
      <c r="G2774" s="2" t="str">
        <f>"9781469634494"</f>
        <v>9781469634494</v>
      </c>
      <c r="H2774" s="2" t="s">
        <v>14</v>
      </c>
      <c r="I2774" s="4">
        <v>43158.004166666666</v>
      </c>
      <c r="J2774" s="2" t="s">
        <v>9533</v>
      </c>
    </row>
    <row r="2775" spans="1:10" ht="255" x14ac:dyDescent="0.25">
      <c r="A2775" s="2" t="s">
        <v>231</v>
      </c>
      <c r="B2775" s="2">
        <v>325.30960904</v>
      </c>
      <c r="C2775" s="2" t="s">
        <v>5948</v>
      </c>
      <c r="D2775" s="2" t="s">
        <v>5947</v>
      </c>
      <c r="E2775" s="2" t="s">
        <v>212</v>
      </c>
      <c r="F2775" s="3">
        <v>43067</v>
      </c>
      <c r="G2775" s="2" t="str">
        <f>"9789956764570"</f>
        <v>9789956764570</v>
      </c>
      <c r="H2775" s="2" t="s">
        <v>14</v>
      </c>
      <c r="I2775" s="4">
        <v>43553.988888888889</v>
      </c>
      <c r="J2775" s="2" t="s">
        <v>5949</v>
      </c>
    </row>
    <row r="2776" spans="1:10" ht="165" x14ac:dyDescent="0.25">
      <c r="A2776" s="2" t="s">
        <v>231</v>
      </c>
      <c r="B2776" s="2" t="s">
        <v>9983</v>
      </c>
      <c r="C2776" s="2" t="s">
        <v>9984</v>
      </c>
      <c r="D2776" s="2" t="s">
        <v>9982</v>
      </c>
      <c r="E2776" s="2" t="s">
        <v>322</v>
      </c>
      <c r="F2776" s="3">
        <v>41654</v>
      </c>
      <c r="G2776" s="2" t="str">
        <f>"9780820346328"</f>
        <v>9780820346328</v>
      </c>
      <c r="H2776" s="2" t="s">
        <v>14</v>
      </c>
      <c r="I2776" s="4">
        <v>43114.709722222222</v>
      </c>
      <c r="J2776" s="2" t="s">
        <v>9985</v>
      </c>
    </row>
    <row r="2777" spans="1:10" ht="210" x14ac:dyDescent="0.25">
      <c r="A2777" s="2" t="s">
        <v>231</v>
      </c>
      <c r="B2777" s="2">
        <v>327.73041000000001</v>
      </c>
      <c r="C2777" s="2" t="s">
        <v>6191</v>
      </c>
      <c r="D2777" s="2" t="s">
        <v>6190</v>
      </c>
      <c r="E2777" s="2" t="s">
        <v>455</v>
      </c>
      <c r="F2777" s="3">
        <v>42193</v>
      </c>
      <c r="G2777" s="2" t="str">
        <f>"9781631011658"</f>
        <v>9781631011658</v>
      </c>
      <c r="H2777" s="2" t="s">
        <v>14</v>
      </c>
      <c r="I2777" s="4">
        <v>43534.53402777778</v>
      </c>
      <c r="J2777" s="2" t="s">
        <v>6192</v>
      </c>
    </row>
    <row r="2778" spans="1:10" ht="135" x14ac:dyDescent="0.25">
      <c r="A2778" s="2" t="s">
        <v>231</v>
      </c>
      <c r="B2778" s="2">
        <v>327</v>
      </c>
      <c r="C2778" s="2" t="s">
        <v>11624</v>
      </c>
      <c r="D2778" s="2" t="s">
        <v>11623</v>
      </c>
      <c r="E2778" s="2" t="s">
        <v>694</v>
      </c>
      <c r="F2778" s="3">
        <v>39753</v>
      </c>
      <c r="G2778" s="2" t="str">
        <f>"9781936190294"</f>
        <v>9781936190294</v>
      </c>
      <c r="H2778" s="2" t="s">
        <v>14</v>
      </c>
      <c r="I2778" s="4">
        <v>42920.60833333333</v>
      </c>
      <c r="J2778" s="2" t="s">
        <v>11625</v>
      </c>
    </row>
    <row r="2779" spans="1:10" ht="135" x14ac:dyDescent="0.25">
      <c r="A2779" s="2" t="s">
        <v>231</v>
      </c>
      <c r="B2779" s="2">
        <v>327.09044999999998</v>
      </c>
      <c r="C2779" s="2" t="s">
        <v>8820</v>
      </c>
      <c r="D2779" s="2" t="s">
        <v>8819</v>
      </c>
      <c r="E2779" s="2" t="s">
        <v>2560</v>
      </c>
      <c r="F2779" s="3">
        <v>42905</v>
      </c>
      <c r="G2779" s="2" t="str">
        <f>"9780826521446"</f>
        <v>9780826521446</v>
      </c>
      <c r="H2779" s="2" t="s">
        <v>14</v>
      </c>
      <c r="I2779" s="4">
        <v>43250.333333333336</v>
      </c>
      <c r="J2779" s="2" t="s">
        <v>8821</v>
      </c>
    </row>
    <row r="2780" spans="1:10" ht="135" x14ac:dyDescent="0.25">
      <c r="A2780" s="2" t="s">
        <v>231</v>
      </c>
      <c r="B2780" s="2">
        <v>320.54609749999997</v>
      </c>
      <c r="C2780" s="2" t="s">
        <v>1626</v>
      </c>
      <c r="D2780" s="2" t="s">
        <v>1625</v>
      </c>
      <c r="E2780" s="2" t="s">
        <v>130</v>
      </c>
      <c r="F2780" s="3">
        <v>43550</v>
      </c>
      <c r="G2780" s="2" t="str">
        <f>"9780813057033"</f>
        <v>9780813057033</v>
      </c>
      <c r="H2780" s="2" t="s">
        <v>14</v>
      </c>
      <c r="I2780" s="4">
        <v>43935.368750000001</v>
      </c>
      <c r="J2780" s="2" t="s">
        <v>1627</v>
      </c>
    </row>
    <row r="2781" spans="1:10" ht="150" x14ac:dyDescent="0.25">
      <c r="A2781" s="2" t="s">
        <v>231</v>
      </c>
      <c r="B2781" s="2">
        <v>323.11960729999998</v>
      </c>
      <c r="C2781" s="2" t="s">
        <v>11241</v>
      </c>
      <c r="D2781" s="2" t="s">
        <v>11240</v>
      </c>
      <c r="E2781" s="2" t="s">
        <v>156</v>
      </c>
      <c r="F2781" s="3">
        <v>41852</v>
      </c>
      <c r="G2781" s="2" t="str">
        <f>"9781469602516"</f>
        <v>9781469602516</v>
      </c>
      <c r="H2781" s="2" t="s">
        <v>14</v>
      </c>
      <c r="I2781" s="4">
        <v>42999.732638888891</v>
      </c>
      <c r="J2781" s="2" t="s">
        <v>11242</v>
      </c>
    </row>
    <row r="2782" spans="1:10" ht="180" x14ac:dyDescent="0.25">
      <c r="A2782" s="2" t="s">
        <v>231</v>
      </c>
      <c r="B2782" s="2">
        <v>320.54095694094701</v>
      </c>
      <c r="C2782" s="2" t="s">
        <v>4354</v>
      </c>
      <c r="D2782" s="2" t="s">
        <v>9690</v>
      </c>
      <c r="E2782" s="2" t="s">
        <v>54</v>
      </c>
      <c r="F2782" s="3">
        <v>41941</v>
      </c>
      <c r="G2782" s="2" t="str">
        <f>"9780804793032"</f>
        <v>9780804793032</v>
      </c>
      <c r="H2782" s="2" t="s">
        <v>14</v>
      </c>
      <c r="I2782" s="4">
        <v>43136.692361111112</v>
      </c>
      <c r="J2782" s="2" t="s">
        <v>9691</v>
      </c>
    </row>
    <row r="2783" spans="1:10" ht="135" x14ac:dyDescent="0.25">
      <c r="A2783" s="2" t="s">
        <v>231</v>
      </c>
      <c r="B2783" s="2">
        <v>323.11960729999998</v>
      </c>
      <c r="C2783" s="2" t="s">
        <v>9400</v>
      </c>
      <c r="D2783" s="2" t="s">
        <v>9399</v>
      </c>
      <c r="E2783" s="2" t="s">
        <v>216</v>
      </c>
      <c r="F2783" s="3">
        <v>41640</v>
      </c>
      <c r="G2783" s="2" t="str">
        <f>"9781438449098"</f>
        <v>9781438449098</v>
      </c>
      <c r="H2783" s="2" t="s">
        <v>14</v>
      </c>
      <c r="I2783" s="4">
        <v>43174.464583333334</v>
      </c>
      <c r="J2783" s="2" t="s">
        <v>9401</v>
      </c>
    </row>
    <row r="2784" spans="1:10" ht="135" x14ac:dyDescent="0.25">
      <c r="A2784" s="2" t="s">
        <v>231</v>
      </c>
      <c r="B2784" s="2">
        <v>327.51</v>
      </c>
      <c r="C2784" s="2" t="s">
        <v>1216</v>
      </c>
      <c r="D2784" s="2" t="s">
        <v>1215</v>
      </c>
      <c r="E2784" s="2" t="s">
        <v>499</v>
      </c>
      <c r="F2784" s="3">
        <v>41828</v>
      </c>
      <c r="G2784" s="2" t="str">
        <f>"9781626160859"</f>
        <v>9781626160859</v>
      </c>
      <c r="H2784" s="2" t="s">
        <v>14</v>
      </c>
      <c r="I2784" s="4">
        <v>43955.8</v>
      </c>
      <c r="J2784" s="2" t="s">
        <v>1217</v>
      </c>
    </row>
    <row r="2785" spans="1:10" ht="135" x14ac:dyDescent="0.25">
      <c r="A2785" s="2" t="s">
        <v>231</v>
      </c>
      <c r="B2785" s="2">
        <v>325</v>
      </c>
      <c r="C2785" s="2" t="s">
        <v>12564</v>
      </c>
      <c r="D2785" s="2" t="s">
        <v>12563</v>
      </c>
      <c r="E2785" s="2" t="s">
        <v>627</v>
      </c>
      <c r="F2785" s="3">
        <v>41791</v>
      </c>
      <c r="G2785" s="2" t="str">
        <f>"9789633860175"</f>
        <v>9789633860175</v>
      </c>
      <c r="H2785" s="2" t="s">
        <v>14</v>
      </c>
      <c r="I2785" s="4">
        <v>42795.50277777778</v>
      </c>
      <c r="J2785" s="2" t="s">
        <v>12565</v>
      </c>
    </row>
    <row r="2786" spans="1:10" ht="150" x14ac:dyDescent="0.25">
      <c r="A2786" s="2" t="s">
        <v>231</v>
      </c>
      <c r="B2786" s="2">
        <v>323.11960730090402</v>
      </c>
      <c r="C2786" s="2" t="s">
        <v>11499</v>
      </c>
      <c r="D2786" s="2" t="s">
        <v>11498</v>
      </c>
      <c r="E2786" s="2" t="s">
        <v>156</v>
      </c>
      <c r="F2786" s="3">
        <v>41715</v>
      </c>
      <c r="G2786" s="2" t="str">
        <f>"9781469615578"</f>
        <v>9781469615578</v>
      </c>
      <c r="H2786" s="2" t="s">
        <v>14</v>
      </c>
      <c r="I2786" s="4">
        <v>42946.585416666669</v>
      </c>
      <c r="J2786" s="2" t="s">
        <v>11500</v>
      </c>
    </row>
    <row r="2787" spans="1:10" ht="135" x14ac:dyDescent="0.25">
      <c r="A2787" s="2" t="s">
        <v>231</v>
      </c>
      <c r="B2787" s="2">
        <v>320.95490999999998</v>
      </c>
      <c r="C2787" s="2" t="s">
        <v>3046</v>
      </c>
      <c r="D2787" s="2" t="s">
        <v>3045</v>
      </c>
      <c r="E2787" s="2" t="s">
        <v>268</v>
      </c>
      <c r="F2787" s="3">
        <v>43102</v>
      </c>
      <c r="G2787" s="2" t="str">
        <f>"9780815729464"</f>
        <v>9780815729464</v>
      </c>
      <c r="H2787" s="2" t="s">
        <v>14</v>
      </c>
      <c r="I2787" s="4">
        <v>43823.299305555556</v>
      </c>
      <c r="J2787" s="2" t="s">
        <v>3047</v>
      </c>
    </row>
    <row r="2788" spans="1:10" ht="135" x14ac:dyDescent="0.25">
      <c r="A2788" s="2" t="s">
        <v>231</v>
      </c>
      <c r="B2788" s="2">
        <v>323.11970000000002</v>
      </c>
      <c r="C2788" s="2" t="s">
        <v>10403</v>
      </c>
      <c r="D2788" s="2" t="s">
        <v>10402</v>
      </c>
      <c r="E2788" s="2" t="s">
        <v>310</v>
      </c>
      <c r="F2788" s="3">
        <v>42135</v>
      </c>
      <c r="G2788" s="2" t="str">
        <f>"9780815653189"</f>
        <v>9780815653189</v>
      </c>
      <c r="H2788" s="2" t="s">
        <v>14</v>
      </c>
      <c r="I2788" s="4">
        <v>43060.412499999999</v>
      </c>
      <c r="J2788" s="2" t="s">
        <v>10404</v>
      </c>
    </row>
    <row r="2789" spans="1:10" ht="210" x14ac:dyDescent="0.25">
      <c r="A2789" s="2" t="s">
        <v>231</v>
      </c>
      <c r="B2789" s="2">
        <v>968.06500000000005</v>
      </c>
      <c r="C2789" s="2" t="s">
        <v>232</v>
      </c>
      <c r="D2789" s="2" t="s">
        <v>229</v>
      </c>
      <c r="E2789" s="2" t="s">
        <v>230</v>
      </c>
      <c r="F2789" s="3">
        <v>42367</v>
      </c>
      <c r="G2789" s="2" t="str">
        <f>"9782869787261"</f>
        <v>9782869787261</v>
      </c>
      <c r="H2789" s="2" t="s">
        <v>14</v>
      </c>
      <c r="I2789" s="4">
        <v>44053.679861111108</v>
      </c>
      <c r="J2789" s="2" t="s">
        <v>233</v>
      </c>
    </row>
    <row r="2790" spans="1:10" ht="135" x14ac:dyDescent="0.25">
      <c r="A2790" s="2" t="s">
        <v>231</v>
      </c>
      <c r="B2790" s="2" t="s">
        <v>10518</v>
      </c>
      <c r="C2790" s="2" t="s">
        <v>10519</v>
      </c>
      <c r="D2790" s="2" t="s">
        <v>10517</v>
      </c>
      <c r="E2790" s="2" t="s">
        <v>156</v>
      </c>
      <c r="F2790" s="3">
        <v>42268</v>
      </c>
      <c r="G2790" s="2" t="str">
        <f>"9781469625416"</f>
        <v>9781469625416</v>
      </c>
      <c r="H2790" s="2" t="s">
        <v>14</v>
      </c>
      <c r="I2790" s="4">
        <v>43052.761805555558</v>
      </c>
      <c r="J2790" s="2" t="s">
        <v>10520</v>
      </c>
    </row>
    <row r="2791" spans="1:10" ht="135" x14ac:dyDescent="0.25">
      <c r="A2791" s="2" t="s">
        <v>231</v>
      </c>
      <c r="B2791" s="2">
        <v>323.11970730000002</v>
      </c>
      <c r="C2791" s="2" t="s">
        <v>9728</v>
      </c>
      <c r="D2791" s="2" t="s">
        <v>9727</v>
      </c>
      <c r="E2791" s="2" t="s">
        <v>156</v>
      </c>
      <c r="F2791" s="3">
        <v>42310</v>
      </c>
      <c r="G2791" s="2" t="str">
        <f>"9781469624822"</f>
        <v>9781469624822</v>
      </c>
      <c r="H2791" s="2" t="s">
        <v>14</v>
      </c>
      <c r="I2791" s="4">
        <v>43133.663888888892</v>
      </c>
      <c r="J2791" s="2" t="s">
        <v>9729</v>
      </c>
    </row>
    <row r="2792" spans="1:10" ht="150" x14ac:dyDescent="0.25">
      <c r="A2792" s="2" t="s">
        <v>231</v>
      </c>
      <c r="B2792" s="2" t="s">
        <v>11627</v>
      </c>
      <c r="C2792" s="2" t="s">
        <v>11628</v>
      </c>
      <c r="D2792" s="2" t="s">
        <v>11626</v>
      </c>
      <c r="E2792" s="2" t="s">
        <v>216</v>
      </c>
      <c r="F2792" s="3">
        <v>42278</v>
      </c>
      <c r="G2792" s="2" t="str">
        <f>"9781438457970"</f>
        <v>9781438457970</v>
      </c>
      <c r="H2792" s="2" t="s">
        <v>14</v>
      </c>
      <c r="I2792" s="4">
        <v>42919.597222222219</v>
      </c>
      <c r="J2792" s="2" t="s">
        <v>11629</v>
      </c>
    </row>
    <row r="2793" spans="1:10" ht="135" x14ac:dyDescent="0.25">
      <c r="A2793" s="2" t="s">
        <v>231</v>
      </c>
      <c r="B2793" s="2">
        <v>327.51047083999998</v>
      </c>
      <c r="C2793" s="2" t="s">
        <v>7937</v>
      </c>
      <c r="D2793" s="2" t="s">
        <v>7936</v>
      </c>
      <c r="E2793" s="2" t="s">
        <v>156</v>
      </c>
      <c r="F2793" s="3">
        <v>42248</v>
      </c>
      <c r="G2793" s="2" t="str">
        <f>"9781469625188"</f>
        <v>9781469625188</v>
      </c>
      <c r="H2793" s="2" t="s">
        <v>14</v>
      </c>
      <c r="I2793" s="4">
        <v>43374.783333333333</v>
      </c>
      <c r="J2793" s="2" t="s">
        <v>7938</v>
      </c>
    </row>
    <row r="2794" spans="1:10" ht="135" x14ac:dyDescent="0.25">
      <c r="A2794" s="2" t="s">
        <v>231</v>
      </c>
      <c r="B2794" s="2">
        <v>327.55</v>
      </c>
      <c r="C2794" s="2" t="s">
        <v>11714</v>
      </c>
      <c r="D2794" s="2" t="s">
        <v>11713</v>
      </c>
      <c r="E2794" s="2" t="s">
        <v>54</v>
      </c>
      <c r="F2794" s="3">
        <v>42130</v>
      </c>
      <c r="G2794" s="2" t="str">
        <f>"9780804795081"</f>
        <v>9780804795081</v>
      </c>
      <c r="H2794" s="2" t="s">
        <v>14</v>
      </c>
      <c r="I2794" s="4">
        <v>42908.915277777778</v>
      </c>
      <c r="J2794" s="2" t="s">
        <v>11715</v>
      </c>
    </row>
    <row r="2795" spans="1:10" ht="135" x14ac:dyDescent="0.25">
      <c r="A2795" s="2" t="s">
        <v>231</v>
      </c>
      <c r="B2795" s="2">
        <v>327.56909999999999</v>
      </c>
      <c r="C2795" s="2" t="s">
        <v>10292</v>
      </c>
      <c r="D2795" s="2" t="s">
        <v>10291</v>
      </c>
      <c r="E2795" s="2" t="s">
        <v>310</v>
      </c>
      <c r="F2795" s="3">
        <v>42006</v>
      </c>
      <c r="G2795" s="2" t="str">
        <f>"9780815653028"</f>
        <v>9780815653028</v>
      </c>
      <c r="H2795" s="2" t="s">
        <v>14</v>
      </c>
      <c r="I2795" s="4">
        <v>43073.616666666669</v>
      </c>
      <c r="J2795" s="2" t="s">
        <v>10293</v>
      </c>
    </row>
    <row r="2796" spans="1:10" ht="135" x14ac:dyDescent="0.25">
      <c r="A2796" s="2" t="s">
        <v>231</v>
      </c>
      <c r="B2796" s="2" t="s">
        <v>1382</v>
      </c>
      <c r="C2796" s="2" t="s">
        <v>1383</v>
      </c>
      <c r="D2796" s="2" t="s">
        <v>1381</v>
      </c>
      <c r="E2796" s="2" t="s">
        <v>28</v>
      </c>
      <c r="F2796" s="3">
        <v>43872</v>
      </c>
      <c r="G2796" s="2" t="str">
        <f>"9780813943770"</f>
        <v>9780813943770</v>
      </c>
      <c r="H2796" s="2" t="s">
        <v>14</v>
      </c>
      <c r="I2796" s="4">
        <v>43945.760416666664</v>
      </c>
      <c r="J2796" s="2" t="s">
        <v>1384</v>
      </c>
    </row>
    <row r="2797" spans="1:10" ht="135" x14ac:dyDescent="0.25">
      <c r="A2797" s="2" t="s">
        <v>231</v>
      </c>
      <c r="B2797" s="2">
        <v>323.09199999999998</v>
      </c>
      <c r="C2797" s="2" t="s">
        <v>2360</v>
      </c>
      <c r="D2797" s="2" t="s">
        <v>2359</v>
      </c>
      <c r="E2797" s="2" t="s">
        <v>156</v>
      </c>
      <c r="F2797" s="3">
        <v>43717</v>
      </c>
      <c r="G2797" s="2" t="str">
        <f>"9781469653310"</f>
        <v>9781469653310</v>
      </c>
      <c r="H2797" s="2" t="s">
        <v>14</v>
      </c>
      <c r="I2797" s="4">
        <v>43890.761111111111</v>
      </c>
      <c r="J2797" s="2" t="s">
        <v>2361</v>
      </c>
    </row>
    <row r="2798" spans="1:10" ht="135" x14ac:dyDescent="0.25">
      <c r="A2798" s="2" t="s">
        <v>231</v>
      </c>
      <c r="B2798" s="2">
        <v>320.51097299999998</v>
      </c>
      <c r="C2798" s="2" t="s">
        <v>12022</v>
      </c>
      <c r="D2798" s="2" t="s">
        <v>12021</v>
      </c>
      <c r="E2798" s="2" t="s">
        <v>130</v>
      </c>
      <c r="F2798" s="3">
        <v>42836</v>
      </c>
      <c r="G2798" s="2" t="str">
        <f>"9780813052762"</f>
        <v>9780813052762</v>
      </c>
      <c r="H2798" s="2" t="s">
        <v>14</v>
      </c>
      <c r="I2798" s="4">
        <v>42861.450694444444</v>
      </c>
      <c r="J2798" s="2" t="s">
        <v>12023</v>
      </c>
    </row>
    <row r="2799" spans="1:10" ht="150" x14ac:dyDescent="0.25">
      <c r="A2799" s="2" t="s">
        <v>231</v>
      </c>
      <c r="B2799" s="2">
        <v>320.97309034</v>
      </c>
      <c r="C2799" s="2" t="s">
        <v>4229</v>
      </c>
      <c r="D2799" s="2" t="s">
        <v>4228</v>
      </c>
      <c r="E2799" s="2" t="s">
        <v>322</v>
      </c>
      <c r="F2799" s="3">
        <v>43525</v>
      </c>
      <c r="G2799" s="2" t="str">
        <f>"9780820354552"</f>
        <v>9780820354552</v>
      </c>
      <c r="H2799" s="2" t="s">
        <v>14</v>
      </c>
      <c r="I2799" s="4">
        <v>43691.026388888888</v>
      </c>
      <c r="J2799" s="2" t="s">
        <v>4230</v>
      </c>
    </row>
    <row r="2800" spans="1:10" ht="135" x14ac:dyDescent="0.25">
      <c r="A2800" s="2" t="s">
        <v>231</v>
      </c>
      <c r="B2800" s="2">
        <v>327.51053999999999</v>
      </c>
      <c r="C2800" s="2" t="s">
        <v>8953</v>
      </c>
      <c r="D2800" s="2" t="s">
        <v>8952</v>
      </c>
      <c r="E2800" s="2" t="s">
        <v>54</v>
      </c>
      <c r="F2800" s="3">
        <v>42452</v>
      </c>
      <c r="G2800" s="2" t="str">
        <f>"9780804797641"</f>
        <v>9780804797641</v>
      </c>
      <c r="H2800" s="2" t="s">
        <v>14</v>
      </c>
      <c r="I2800" s="4">
        <v>43235.95</v>
      </c>
      <c r="J2800" s="2" t="s">
        <v>8954</v>
      </c>
    </row>
    <row r="2801" spans="1:10" ht="135" x14ac:dyDescent="0.25">
      <c r="A2801" s="2" t="s">
        <v>231</v>
      </c>
      <c r="B2801" s="2">
        <v>956.70439999999996</v>
      </c>
      <c r="C2801" s="2" t="s">
        <v>9508</v>
      </c>
      <c r="D2801" s="2" t="s">
        <v>9507</v>
      </c>
      <c r="E2801" s="2" t="s">
        <v>526</v>
      </c>
      <c r="F2801" s="3">
        <v>42323</v>
      </c>
      <c r="G2801" s="2" t="str">
        <f>"9781477308653"</f>
        <v>9781477308653</v>
      </c>
      <c r="H2801" s="2" t="s">
        <v>14</v>
      </c>
      <c r="I2801" s="4">
        <v>43160.618055555555</v>
      </c>
      <c r="J2801" s="2" t="s">
        <v>9509</v>
      </c>
    </row>
    <row r="2802" spans="1:10" ht="135" x14ac:dyDescent="0.25">
      <c r="A2802" s="2" t="s">
        <v>231</v>
      </c>
      <c r="B2802" s="2" t="s">
        <v>12700</v>
      </c>
      <c r="C2802" s="2" t="s">
        <v>12701</v>
      </c>
      <c r="D2802" s="2" t="s">
        <v>12699</v>
      </c>
      <c r="E2802" s="2" t="s">
        <v>54</v>
      </c>
      <c r="F2802" s="3">
        <v>42536</v>
      </c>
      <c r="G2802" s="2" t="str">
        <f>"9780804799294"</f>
        <v>9780804799294</v>
      </c>
      <c r="H2802" s="2" t="s">
        <v>14</v>
      </c>
      <c r="I2802" s="4">
        <v>42781.488888888889</v>
      </c>
      <c r="J2802" s="2" t="s">
        <v>12702</v>
      </c>
    </row>
    <row r="2803" spans="1:10" ht="150" x14ac:dyDescent="0.25">
      <c r="A2803" s="2" t="s">
        <v>231</v>
      </c>
      <c r="B2803" s="2" t="s">
        <v>9215</v>
      </c>
      <c r="C2803" s="2" t="s">
        <v>9216</v>
      </c>
      <c r="D2803" s="2" t="s">
        <v>9214</v>
      </c>
      <c r="E2803" s="2" t="s">
        <v>54</v>
      </c>
      <c r="F2803" s="3">
        <v>42675</v>
      </c>
      <c r="G2803" s="2" t="str">
        <f>"9781503600133"</f>
        <v>9781503600133</v>
      </c>
      <c r="H2803" s="2" t="s">
        <v>14</v>
      </c>
      <c r="I2803" s="4">
        <v>43199.536805555559</v>
      </c>
      <c r="J2803" s="2" t="s">
        <v>9217</v>
      </c>
    </row>
    <row r="2804" spans="1:10" ht="165" x14ac:dyDescent="0.25">
      <c r="A2804" s="2" t="s">
        <v>231</v>
      </c>
      <c r="B2804" s="2">
        <v>327.73009039999999</v>
      </c>
      <c r="C2804" s="2" t="s">
        <v>12032</v>
      </c>
      <c r="D2804" s="2" t="s">
        <v>12031</v>
      </c>
      <c r="E2804" s="2" t="s">
        <v>6704</v>
      </c>
      <c r="F2804" s="3">
        <v>41663</v>
      </c>
      <c r="G2804" s="2" t="str">
        <f>"9780801470288"</f>
        <v>9780801470288</v>
      </c>
      <c r="H2804" s="2" t="s">
        <v>14</v>
      </c>
      <c r="I2804" s="4">
        <v>42860.442361111112</v>
      </c>
      <c r="J2804" s="2" t="s">
        <v>12033</v>
      </c>
    </row>
    <row r="2805" spans="1:10" ht="135" x14ac:dyDescent="0.25">
      <c r="A2805" s="2" t="s">
        <v>231</v>
      </c>
      <c r="B2805" s="2">
        <v>327.73050999999998</v>
      </c>
      <c r="C2805" s="2" t="s">
        <v>11560</v>
      </c>
      <c r="D2805" s="2" t="s">
        <v>11559</v>
      </c>
      <c r="E2805" s="2" t="s">
        <v>156</v>
      </c>
      <c r="F2805" s="3">
        <v>42842</v>
      </c>
      <c r="G2805" s="2" t="str">
        <f>"9781469631721"</f>
        <v>9781469631721</v>
      </c>
      <c r="H2805" s="2" t="s">
        <v>14</v>
      </c>
      <c r="I2805" s="4">
        <v>42930.395138888889</v>
      </c>
      <c r="J2805" s="2" t="s">
        <v>11561</v>
      </c>
    </row>
    <row r="2806" spans="1:10" ht="135" x14ac:dyDescent="0.25">
      <c r="A2806" s="2" t="s">
        <v>6834</v>
      </c>
      <c r="D2806" s="2" t="s">
        <v>6833</v>
      </c>
      <c r="E2806" s="2" t="s">
        <v>46</v>
      </c>
      <c r="F2806" s="3">
        <v>43466</v>
      </c>
      <c r="G2806" s="2" t="str">
        <f>"9781496212016"</f>
        <v>9781496212016</v>
      </c>
      <c r="H2806" s="2" t="s">
        <v>14</v>
      </c>
      <c r="I2806" s="4">
        <v>43482.55</v>
      </c>
      <c r="J2806" s="2" t="s">
        <v>6835</v>
      </c>
    </row>
    <row r="2807" spans="1:10" ht="135" x14ac:dyDescent="0.25">
      <c r="A2807" s="2" t="s">
        <v>6082</v>
      </c>
      <c r="B2807" s="2">
        <v>341.2</v>
      </c>
      <c r="C2807" s="2" t="s">
        <v>12687</v>
      </c>
      <c r="D2807" s="2" t="s">
        <v>12686</v>
      </c>
      <c r="E2807" s="2" t="s">
        <v>80</v>
      </c>
      <c r="F2807" s="3">
        <v>42503</v>
      </c>
      <c r="G2807" s="2" t="str">
        <f>"9783653055351"</f>
        <v>9783653055351</v>
      </c>
      <c r="H2807" s="2" t="s">
        <v>14</v>
      </c>
      <c r="I2807" s="4">
        <v>42782.561111111114</v>
      </c>
      <c r="J2807" s="2" t="s">
        <v>12688</v>
      </c>
    </row>
    <row r="2808" spans="1:10" ht="135" x14ac:dyDescent="0.25">
      <c r="A2808" s="2" t="s">
        <v>6082</v>
      </c>
      <c r="B2808" s="2">
        <v>341.48500000000001</v>
      </c>
      <c r="C2808" s="2" t="s">
        <v>6083</v>
      </c>
      <c r="D2808" s="2" t="s">
        <v>6081</v>
      </c>
      <c r="E2808" s="2" t="s">
        <v>856</v>
      </c>
      <c r="F2808" s="3">
        <v>42409</v>
      </c>
      <c r="G2808" s="2" t="str">
        <f>"9780295806396"</f>
        <v>9780295806396</v>
      </c>
      <c r="H2808" s="2" t="s">
        <v>14</v>
      </c>
      <c r="I2808" s="4">
        <v>43542.772916666669</v>
      </c>
      <c r="J2808" s="2" t="s">
        <v>6084</v>
      </c>
    </row>
    <row r="2809" spans="1:10" ht="135" x14ac:dyDescent="0.25">
      <c r="A2809" s="2" t="s">
        <v>6082</v>
      </c>
      <c r="B2809" s="2">
        <v>341.24220000000003</v>
      </c>
      <c r="C2809" s="2" t="s">
        <v>9549</v>
      </c>
      <c r="D2809" s="2" t="s">
        <v>9548</v>
      </c>
      <c r="E2809" s="2" t="s">
        <v>268</v>
      </c>
      <c r="F2809" s="3">
        <v>41660</v>
      </c>
      <c r="G2809" s="2" t="str">
        <f>"9780870034145"</f>
        <v>9780870034145</v>
      </c>
      <c r="H2809" s="2" t="s">
        <v>14</v>
      </c>
      <c r="I2809" s="4">
        <v>43155.598611111112</v>
      </c>
      <c r="J2809" s="2" t="s">
        <v>9550</v>
      </c>
    </row>
    <row r="2810" spans="1:10" ht="135" x14ac:dyDescent="0.25">
      <c r="A2810" s="2" t="s">
        <v>1004</v>
      </c>
      <c r="B2810" s="2">
        <v>355.02179999999998</v>
      </c>
      <c r="C2810" s="2" t="s">
        <v>1101</v>
      </c>
      <c r="D2810" s="2" t="s">
        <v>1100</v>
      </c>
      <c r="E2810" s="2" t="s">
        <v>322</v>
      </c>
      <c r="F2810" s="3">
        <v>42870</v>
      </c>
      <c r="G2810" s="2" t="str">
        <f>"9780820351063"</f>
        <v>9780820351063</v>
      </c>
      <c r="H2810" s="2" t="s">
        <v>14</v>
      </c>
      <c r="I2810" s="4">
        <v>43963.408333333333</v>
      </c>
      <c r="J2810" s="2" t="s">
        <v>1102</v>
      </c>
    </row>
    <row r="2811" spans="1:10" ht="165" x14ac:dyDescent="0.25">
      <c r="A2811" s="2" t="s">
        <v>1004</v>
      </c>
      <c r="B2811" s="2">
        <v>327.17470973000002</v>
      </c>
      <c r="C2811" s="2" t="s">
        <v>1005</v>
      </c>
      <c r="D2811" s="2" t="s">
        <v>1003</v>
      </c>
      <c r="E2811" s="2" t="s">
        <v>33</v>
      </c>
      <c r="F2811" s="3">
        <v>43033</v>
      </c>
      <c r="G2811" s="2" t="str">
        <f>"9781613765067"</f>
        <v>9781613765067</v>
      </c>
      <c r="H2811" s="2" t="s">
        <v>14</v>
      </c>
      <c r="I2811" s="4">
        <v>43969.938888888886</v>
      </c>
      <c r="J2811" s="2" t="s">
        <v>1006</v>
      </c>
    </row>
    <row r="2812" spans="1:10" ht="135" x14ac:dyDescent="0.25">
      <c r="A2812" s="2" t="s">
        <v>1004</v>
      </c>
      <c r="B2812" s="2">
        <v>355.02</v>
      </c>
      <c r="C2812" s="2" t="s">
        <v>4213</v>
      </c>
      <c r="D2812" s="2" t="s">
        <v>4212</v>
      </c>
      <c r="E2812" s="2" t="s">
        <v>54</v>
      </c>
      <c r="F2812" s="3">
        <v>43550</v>
      </c>
      <c r="G2812" s="2" t="str">
        <f>"9781503608733"</f>
        <v>9781503608733</v>
      </c>
      <c r="H2812" s="2" t="s">
        <v>14</v>
      </c>
      <c r="I2812" s="4">
        <v>43693.455555555556</v>
      </c>
      <c r="J2812" s="2" t="s">
        <v>4214</v>
      </c>
    </row>
    <row r="2813" spans="1:10" ht="135" x14ac:dyDescent="0.25">
      <c r="A2813" s="2" t="s">
        <v>1004</v>
      </c>
      <c r="B2813" s="2">
        <v>353</v>
      </c>
      <c r="C2813" s="2" t="s">
        <v>8805</v>
      </c>
      <c r="D2813" s="2" t="s">
        <v>8804</v>
      </c>
      <c r="E2813" s="2" t="s">
        <v>69</v>
      </c>
      <c r="F2813" s="3">
        <v>42118</v>
      </c>
      <c r="G2813" s="2" t="str">
        <f>"9780253017383"</f>
        <v>9780253017383</v>
      </c>
      <c r="H2813" s="2" t="s">
        <v>14</v>
      </c>
      <c r="I2813" s="4">
        <v>43251.042361111111</v>
      </c>
      <c r="J2813" s="2" t="s">
        <v>8806</v>
      </c>
    </row>
    <row r="2814" spans="1:10" ht="135" x14ac:dyDescent="0.25">
      <c r="A2814" s="2" t="s">
        <v>3799</v>
      </c>
      <c r="B2814" s="2">
        <v>172</v>
      </c>
      <c r="C2814" s="2" t="s">
        <v>3800</v>
      </c>
      <c r="D2814" s="2" t="s">
        <v>3798</v>
      </c>
      <c r="E2814" s="2" t="s">
        <v>216</v>
      </c>
      <c r="F2814" s="3">
        <v>42248</v>
      </c>
      <c r="G2814" s="2" t="str">
        <f>"9781438457222"</f>
        <v>9781438457222</v>
      </c>
      <c r="H2814" s="2" t="s">
        <v>14</v>
      </c>
      <c r="I2814" s="4">
        <v>43754.68472222222</v>
      </c>
      <c r="J2814" s="2" t="s">
        <v>3801</v>
      </c>
    </row>
    <row r="2815" spans="1:10" ht="135" x14ac:dyDescent="0.25">
      <c r="A2815" s="2" t="s">
        <v>6837</v>
      </c>
      <c r="B2815" s="2">
        <v>323.01</v>
      </c>
      <c r="C2815" s="2" t="s">
        <v>11945</v>
      </c>
      <c r="D2815" s="2" t="s">
        <v>11944</v>
      </c>
      <c r="E2815" s="2" t="s">
        <v>54</v>
      </c>
      <c r="F2815" s="3">
        <v>42123</v>
      </c>
      <c r="G2815" s="2" t="str">
        <f>"9780804795036"</f>
        <v>9780804795036</v>
      </c>
      <c r="H2815" s="2" t="s">
        <v>14</v>
      </c>
      <c r="I2815" s="4">
        <v>42869.530555555553</v>
      </c>
      <c r="J2815" s="2" t="s">
        <v>11946</v>
      </c>
    </row>
    <row r="2816" spans="1:10" ht="135" x14ac:dyDescent="0.25">
      <c r="A2816" s="2" t="s">
        <v>6837</v>
      </c>
      <c r="B2816" s="2" t="s">
        <v>9947</v>
      </c>
      <c r="C2816" s="2" t="s">
        <v>9948</v>
      </c>
      <c r="D2816" s="2" t="s">
        <v>9946</v>
      </c>
      <c r="E2816" s="2" t="s">
        <v>54</v>
      </c>
      <c r="F2816" s="3">
        <v>41794</v>
      </c>
      <c r="G2816" s="2" t="str">
        <f>"9780804792103"</f>
        <v>9780804792103</v>
      </c>
      <c r="H2816" s="2" t="s">
        <v>14</v>
      </c>
      <c r="I2816" s="4">
        <v>43117.587500000001</v>
      </c>
      <c r="J2816" s="2" t="s">
        <v>9949</v>
      </c>
    </row>
    <row r="2817" spans="1:10" ht="135" x14ac:dyDescent="0.25">
      <c r="A2817" s="2" t="s">
        <v>6837</v>
      </c>
      <c r="B2817" s="2">
        <v>320.51299999999998</v>
      </c>
      <c r="C2817" s="2" t="s">
        <v>7623</v>
      </c>
      <c r="D2817" s="2" t="s">
        <v>7622</v>
      </c>
      <c r="E2817" s="2" t="s">
        <v>54</v>
      </c>
      <c r="F2817" s="3">
        <v>43347</v>
      </c>
      <c r="G2817" s="2" t="str">
        <f>"9781503607132"</f>
        <v>9781503607132</v>
      </c>
      <c r="H2817" s="2" t="s">
        <v>14</v>
      </c>
      <c r="I2817" s="4">
        <v>43404.460416666669</v>
      </c>
      <c r="J2817" s="2" t="s">
        <v>7624</v>
      </c>
    </row>
    <row r="2818" spans="1:10" ht="150" x14ac:dyDescent="0.25">
      <c r="A2818" s="2" t="s">
        <v>6837</v>
      </c>
      <c r="B2818" s="2" t="s">
        <v>13015</v>
      </c>
      <c r="C2818" s="2" t="s">
        <v>13016</v>
      </c>
      <c r="D2818" s="2" t="s">
        <v>13014</v>
      </c>
      <c r="E2818" s="2" t="s">
        <v>499</v>
      </c>
      <c r="F2818" s="3">
        <v>42094</v>
      </c>
      <c r="G2818" s="2" t="str">
        <f>"9781626160712"</f>
        <v>9781626160712</v>
      </c>
      <c r="H2818" s="2" t="s">
        <v>14</v>
      </c>
      <c r="I2818" s="4">
        <v>42746.084027777775</v>
      </c>
      <c r="J2818" s="2" t="s">
        <v>13017</v>
      </c>
    </row>
    <row r="2819" spans="1:10" ht="180" x14ac:dyDescent="0.25">
      <c r="A2819" s="2" t="s">
        <v>6837</v>
      </c>
      <c r="B2819" s="2" t="s">
        <v>6838</v>
      </c>
      <c r="C2819" s="2" t="s">
        <v>6839</v>
      </c>
      <c r="D2819" s="2" t="s">
        <v>6836</v>
      </c>
      <c r="E2819" s="2" t="s">
        <v>6704</v>
      </c>
      <c r="F2819" s="3">
        <v>42675</v>
      </c>
      <c r="G2819" s="2" t="str">
        <f>"9781609092047"</f>
        <v>9781609092047</v>
      </c>
      <c r="H2819" s="2" t="s">
        <v>14</v>
      </c>
      <c r="I2819" s="4">
        <v>43482.522916666669</v>
      </c>
      <c r="J2819" s="2" t="s">
        <v>6840</v>
      </c>
    </row>
    <row r="2820" spans="1:10" ht="135" x14ac:dyDescent="0.25">
      <c r="A2820" s="2" t="s">
        <v>6837</v>
      </c>
      <c r="B2820" s="2" t="s">
        <v>8435</v>
      </c>
      <c r="C2820" s="2" t="s">
        <v>8436</v>
      </c>
      <c r="D2820" s="2" t="s">
        <v>8434</v>
      </c>
      <c r="E2820" s="2" t="s">
        <v>310</v>
      </c>
      <c r="F2820" s="3">
        <v>41786</v>
      </c>
      <c r="G2820" s="2" t="str">
        <f>"9780815652809"</f>
        <v>9780815652809</v>
      </c>
      <c r="H2820" s="2" t="s">
        <v>14</v>
      </c>
      <c r="I2820" s="4">
        <v>43308.450694444444</v>
      </c>
      <c r="J2820" s="2" t="s">
        <v>8437</v>
      </c>
    </row>
    <row r="2821" spans="1:10" ht="135" x14ac:dyDescent="0.25">
      <c r="A2821" s="2" t="s">
        <v>94</v>
      </c>
      <c r="B2821" s="2">
        <v>304.8</v>
      </c>
      <c r="C2821" s="2" t="s">
        <v>7788</v>
      </c>
      <c r="D2821" s="2" t="s">
        <v>7787</v>
      </c>
      <c r="E2821" s="2" t="s">
        <v>578</v>
      </c>
      <c r="F2821" s="3">
        <v>42597</v>
      </c>
      <c r="G2821" s="2" t="str">
        <f>"9780252098864"</f>
        <v>9780252098864</v>
      </c>
      <c r="H2821" s="2" t="s">
        <v>14</v>
      </c>
      <c r="I2821" s="4">
        <v>43389.618055555555</v>
      </c>
      <c r="J2821" s="2" t="s">
        <v>7789</v>
      </c>
    </row>
    <row r="2822" spans="1:10" ht="150" x14ac:dyDescent="0.25">
      <c r="A2822" s="2" t="s">
        <v>94</v>
      </c>
      <c r="B2822" s="2">
        <v>305.90691199999998</v>
      </c>
      <c r="C2822" s="2" t="s">
        <v>8405</v>
      </c>
      <c r="D2822" s="2" t="s">
        <v>8404</v>
      </c>
      <c r="E2822" s="2" t="s">
        <v>54</v>
      </c>
      <c r="F2822" s="3">
        <v>43249</v>
      </c>
      <c r="G2822" s="2" t="str">
        <f>"9781503605770"</f>
        <v>9781503605770</v>
      </c>
      <c r="H2822" s="2" t="s">
        <v>14</v>
      </c>
      <c r="I2822" s="4">
        <v>43312.460416666669</v>
      </c>
      <c r="J2822" s="2" t="s">
        <v>8406</v>
      </c>
    </row>
    <row r="2823" spans="1:10" ht="135" x14ac:dyDescent="0.25">
      <c r="A2823" s="2" t="s">
        <v>94</v>
      </c>
      <c r="B2823" s="2" t="s">
        <v>6308</v>
      </c>
      <c r="C2823" s="2" t="s">
        <v>6309</v>
      </c>
      <c r="D2823" s="2" t="s">
        <v>6307</v>
      </c>
      <c r="E2823" s="2" t="s">
        <v>216</v>
      </c>
      <c r="F2823" s="3">
        <v>43252</v>
      </c>
      <c r="G2823" s="2" t="str">
        <f>"9781438470122"</f>
        <v>9781438470122</v>
      </c>
      <c r="H2823" s="2" t="s">
        <v>14</v>
      </c>
      <c r="I2823" s="4">
        <v>43525.634722222225</v>
      </c>
      <c r="J2823" s="2" t="s">
        <v>6310</v>
      </c>
    </row>
    <row r="2824" spans="1:10" ht="135" x14ac:dyDescent="0.25">
      <c r="A2824" s="2" t="s">
        <v>94</v>
      </c>
      <c r="B2824" s="2">
        <v>304.85694047089902</v>
      </c>
      <c r="C2824" s="2" t="s">
        <v>9255</v>
      </c>
      <c r="D2824" s="2" t="s">
        <v>9254</v>
      </c>
      <c r="E2824" s="2" t="s">
        <v>54</v>
      </c>
      <c r="F2824" s="3">
        <v>41801</v>
      </c>
      <c r="G2824" s="2" t="str">
        <f>"9780804790871"</f>
        <v>9780804790871</v>
      </c>
      <c r="H2824" s="2" t="s">
        <v>14</v>
      </c>
      <c r="I2824" s="4">
        <v>43194.722222222219</v>
      </c>
      <c r="J2824" s="2" t="s">
        <v>9256</v>
      </c>
    </row>
    <row r="2825" spans="1:10" ht="135" x14ac:dyDescent="0.25">
      <c r="A2825" s="2" t="s">
        <v>94</v>
      </c>
      <c r="B2825" s="2">
        <v>304.87299999999999</v>
      </c>
      <c r="C2825" s="2" t="s">
        <v>10302</v>
      </c>
      <c r="D2825" s="2" t="s">
        <v>10301</v>
      </c>
      <c r="E2825" s="2" t="s">
        <v>73</v>
      </c>
      <c r="F2825" s="3">
        <v>42292</v>
      </c>
      <c r="G2825" s="2" t="str">
        <f>"9781452945705"</f>
        <v>9781452945705</v>
      </c>
      <c r="H2825" s="2" t="s">
        <v>14</v>
      </c>
      <c r="I2825" s="4">
        <v>43071.886111111111</v>
      </c>
      <c r="J2825" s="2" t="s">
        <v>10303</v>
      </c>
    </row>
    <row r="2826" spans="1:10" ht="135" x14ac:dyDescent="0.25">
      <c r="A2826" s="2" t="s">
        <v>94</v>
      </c>
      <c r="B2826" s="2">
        <v>306.85086912097597</v>
      </c>
      <c r="C2826" s="2" t="s">
        <v>3144</v>
      </c>
      <c r="D2826" s="2" t="s">
        <v>3143</v>
      </c>
      <c r="E2826" s="2" t="s">
        <v>54</v>
      </c>
      <c r="F2826" s="3">
        <v>43522</v>
      </c>
      <c r="G2826" s="2" t="str">
        <f>"9781503607927"</f>
        <v>9781503607927</v>
      </c>
      <c r="H2826" s="2" t="s">
        <v>14</v>
      </c>
      <c r="I2826" s="4">
        <v>43804.935416666667</v>
      </c>
      <c r="J2826" s="2" t="s">
        <v>3145</v>
      </c>
    </row>
    <row r="2827" spans="1:10" ht="135" x14ac:dyDescent="0.25">
      <c r="A2827" s="2" t="s">
        <v>94</v>
      </c>
      <c r="B2827" s="2">
        <v>323.3</v>
      </c>
      <c r="C2827" s="2" t="s">
        <v>6714</v>
      </c>
      <c r="D2827" s="2" t="s">
        <v>6713</v>
      </c>
      <c r="E2827" s="2" t="s">
        <v>73</v>
      </c>
      <c r="F2827" s="3">
        <v>42078</v>
      </c>
      <c r="G2827" s="2" t="str">
        <f>"9781452944227"</f>
        <v>9781452944227</v>
      </c>
      <c r="H2827" s="2" t="s">
        <v>14</v>
      </c>
      <c r="I2827" s="4">
        <v>43494.618750000001</v>
      </c>
      <c r="J2827" s="2" t="s">
        <v>6715</v>
      </c>
    </row>
    <row r="2828" spans="1:10" ht="150" x14ac:dyDescent="0.25">
      <c r="A2828" s="2" t="s">
        <v>94</v>
      </c>
      <c r="B2828" s="2">
        <v>363.2320917541</v>
      </c>
      <c r="C2828" s="2" t="s">
        <v>4881</v>
      </c>
      <c r="D2828" s="2" t="s">
        <v>4880</v>
      </c>
      <c r="E2828" s="2" t="s">
        <v>50</v>
      </c>
      <c r="F2828" s="3">
        <v>43191</v>
      </c>
      <c r="G2828" s="2" t="str">
        <f>"9781496206206"</f>
        <v>9781496206206</v>
      </c>
      <c r="H2828" s="2" t="s">
        <v>14</v>
      </c>
      <c r="I2828" s="4">
        <v>43619.072916666664</v>
      </c>
      <c r="J2828" s="2" t="s">
        <v>4882</v>
      </c>
    </row>
    <row r="2829" spans="1:10" ht="135" x14ac:dyDescent="0.25">
      <c r="A2829" s="2" t="s">
        <v>94</v>
      </c>
      <c r="B2829" s="2" t="s">
        <v>6007</v>
      </c>
      <c r="C2829" s="2" t="s">
        <v>6008</v>
      </c>
      <c r="D2829" s="2" t="s">
        <v>6006</v>
      </c>
      <c r="E2829" s="2" t="s">
        <v>268</v>
      </c>
      <c r="F2829" s="3">
        <v>42850</v>
      </c>
      <c r="G2829" s="2" t="str">
        <f>"9780815727934"</f>
        <v>9780815727934</v>
      </c>
      <c r="H2829" s="2" t="s">
        <v>14</v>
      </c>
      <c r="I2829" s="4">
        <v>43550.488194444442</v>
      </c>
      <c r="J2829" s="2" t="s">
        <v>6009</v>
      </c>
    </row>
    <row r="2830" spans="1:10" ht="135" x14ac:dyDescent="0.25">
      <c r="A2830" s="2" t="s">
        <v>94</v>
      </c>
      <c r="B2830" s="2">
        <v>361.7</v>
      </c>
      <c r="C2830" s="2" t="s">
        <v>3657</v>
      </c>
      <c r="D2830" s="2" t="s">
        <v>3656</v>
      </c>
      <c r="E2830" s="2" t="s">
        <v>41</v>
      </c>
      <c r="F2830" s="3">
        <v>43074</v>
      </c>
      <c r="G2830" s="2" t="str">
        <f>"9780817391539"</f>
        <v>9780817391539</v>
      </c>
      <c r="H2830" s="2" t="s">
        <v>14</v>
      </c>
      <c r="I2830" s="4">
        <v>43768.645138888889</v>
      </c>
      <c r="J2830" s="2" t="s">
        <v>3658</v>
      </c>
    </row>
    <row r="2831" spans="1:10" ht="135" x14ac:dyDescent="0.25">
      <c r="A2831" s="2" t="s">
        <v>94</v>
      </c>
      <c r="B2831" s="2" t="s">
        <v>7640</v>
      </c>
      <c r="C2831" s="2" t="s">
        <v>7641</v>
      </c>
      <c r="D2831" s="2" t="s">
        <v>7639</v>
      </c>
      <c r="E2831" s="2" t="s">
        <v>455</v>
      </c>
      <c r="F2831" s="3">
        <v>42017</v>
      </c>
      <c r="G2831" s="2" t="str">
        <f>"9781631011252"</f>
        <v>9781631011252</v>
      </c>
      <c r="H2831" s="2" t="s">
        <v>14</v>
      </c>
      <c r="I2831" s="4">
        <v>43403.32708333333</v>
      </c>
      <c r="J2831" s="2" t="s">
        <v>7642</v>
      </c>
    </row>
    <row r="2832" spans="1:10" ht="135" x14ac:dyDescent="0.25">
      <c r="A2832" s="2" t="s">
        <v>94</v>
      </c>
      <c r="B2832" s="2">
        <v>364.137</v>
      </c>
      <c r="C2832" s="2" t="s">
        <v>3137</v>
      </c>
      <c r="D2832" s="2" t="s">
        <v>3136</v>
      </c>
      <c r="E2832" s="2" t="s">
        <v>105</v>
      </c>
      <c r="F2832" s="3">
        <v>43374</v>
      </c>
      <c r="G2832" s="2" t="str">
        <f>"9781610752855"</f>
        <v>9781610752855</v>
      </c>
      <c r="H2832" s="2" t="s">
        <v>14</v>
      </c>
      <c r="I2832" s="4">
        <v>43806.500694444447</v>
      </c>
      <c r="J2832" s="2" t="s">
        <v>3138</v>
      </c>
    </row>
    <row r="2833" spans="1:10" ht="135" x14ac:dyDescent="0.25">
      <c r="A2833" s="2" t="s">
        <v>94</v>
      </c>
      <c r="D2833" s="2" t="s">
        <v>93</v>
      </c>
      <c r="E2833" s="2" t="s">
        <v>69</v>
      </c>
      <c r="F2833" s="3">
        <v>44047</v>
      </c>
      <c r="G2833" s="2" t="str">
        <f>"9780253047960"</f>
        <v>9780253047960</v>
      </c>
      <c r="H2833" s="2" t="s">
        <v>14</v>
      </c>
      <c r="I2833" s="4">
        <v>44072.834027777775</v>
      </c>
      <c r="J2833" s="2" t="s">
        <v>95</v>
      </c>
    </row>
    <row r="2834" spans="1:10" ht="135" x14ac:dyDescent="0.25">
      <c r="A2834" s="2" t="s">
        <v>94</v>
      </c>
      <c r="B2834" s="2">
        <v>325.21093999999999</v>
      </c>
      <c r="C2834" s="2" t="s">
        <v>153</v>
      </c>
      <c r="D2834" s="2" t="s">
        <v>9261</v>
      </c>
      <c r="E2834" s="2" t="s">
        <v>37</v>
      </c>
      <c r="F2834" s="3">
        <v>42800</v>
      </c>
      <c r="G2834" s="2" t="str">
        <f>"9783319398297"</f>
        <v>9783319398297</v>
      </c>
      <c r="H2834" s="2" t="s">
        <v>14</v>
      </c>
      <c r="I2834" s="4">
        <v>43193.723611111112</v>
      </c>
      <c r="J2834" s="2" t="s">
        <v>9262</v>
      </c>
    </row>
    <row r="2835" spans="1:10" ht="135" x14ac:dyDescent="0.25">
      <c r="A2835" s="2" t="s">
        <v>94</v>
      </c>
      <c r="B2835" s="2">
        <v>303.60000000000002</v>
      </c>
      <c r="C2835" s="2" t="s">
        <v>9932</v>
      </c>
      <c r="D2835" s="2" t="s">
        <v>9931</v>
      </c>
      <c r="E2835" s="2" t="s">
        <v>256</v>
      </c>
      <c r="F2835" s="3">
        <v>41791</v>
      </c>
      <c r="G2835" s="2" t="str">
        <f>"9780821444887"</f>
        <v>9780821444887</v>
      </c>
      <c r="H2835" s="2" t="s">
        <v>14</v>
      </c>
      <c r="I2835" s="4">
        <v>43118.32916666667</v>
      </c>
      <c r="J2835" s="2" t="s">
        <v>9933</v>
      </c>
    </row>
    <row r="2836" spans="1:10" ht="135" x14ac:dyDescent="0.25">
      <c r="A2836" s="2" t="s">
        <v>94</v>
      </c>
      <c r="B2836" s="2">
        <v>304.8</v>
      </c>
      <c r="C2836" s="2" t="s">
        <v>265</v>
      </c>
      <c r="D2836" s="2" t="s">
        <v>9188</v>
      </c>
      <c r="E2836" s="2" t="s">
        <v>8755</v>
      </c>
      <c r="F2836" s="3">
        <v>42821</v>
      </c>
      <c r="G2836" s="2" t="str">
        <f>"9783658170110"</f>
        <v>9783658170110</v>
      </c>
      <c r="H2836" s="2" t="s">
        <v>14</v>
      </c>
      <c r="I2836" s="4">
        <v>43202.37777777778</v>
      </c>
      <c r="J2836" s="2" t="s">
        <v>9189</v>
      </c>
    </row>
    <row r="2837" spans="1:10" ht="135" x14ac:dyDescent="0.25">
      <c r="A2837" s="2" t="s">
        <v>94</v>
      </c>
      <c r="B2837" s="2" t="s">
        <v>11563</v>
      </c>
      <c r="C2837" s="2" t="s">
        <v>11564</v>
      </c>
      <c r="D2837" s="2" t="s">
        <v>11562</v>
      </c>
      <c r="E2837" s="2" t="s">
        <v>310</v>
      </c>
      <c r="F2837" s="3">
        <v>41969</v>
      </c>
      <c r="G2837" s="2" t="str">
        <f>"9780815652915"</f>
        <v>9780815652915</v>
      </c>
      <c r="H2837" s="2" t="s">
        <v>14</v>
      </c>
      <c r="I2837" s="4">
        <v>42930.245138888888</v>
      </c>
      <c r="J2837" s="2" t="s">
        <v>11565</v>
      </c>
    </row>
    <row r="2838" spans="1:10" ht="150" x14ac:dyDescent="0.25">
      <c r="A2838" s="2" t="s">
        <v>94</v>
      </c>
      <c r="B2838" s="2">
        <v>306.20953650000001</v>
      </c>
      <c r="C2838" s="2" t="s">
        <v>10470</v>
      </c>
      <c r="D2838" s="2" t="s">
        <v>10469</v>
      </c>
      <c r="E2838" s="2" t="s">
        <v>69</v>
      </c>
      <c r="F2838" s="3">
        <v>42163</v>
      </c>
      <c r="G2838" s="2" t="str">
        <f>"9780253016867"</f>
        <v>9780253016867</v>
      </c>
      <c r="H2838" s="2" t="s">
        <v>14</v>
      </c>
      <c r="I2838" s="4">
        <v>43055.344444444447</v>
      </c>
      <c r="J2838" s="2" t="s">
        <v>10471</v>
      </c>
    </row>
    <row r="2839" spans="1:10" ht="135" x14ac:dyDescent="0.25">
      <c r="A2839" s="2" t="s">
        <v>94</v>
      </c>
      <c r="B2839" s="2" t="s">
        <v>10969</v>
      </c>
      <c r="C2839" s="2" t="s">
        <v>10970</v>
      </c>
      <c r="D2839" s="2" t="s">
        <v>10968</v>
      </c>
      <c r="E2839" s="2" t="s">
        <v>54</v>
      </c>
      <c r="F2839" s="3">
        <v>41899</v>
      </c>
      <c r="G2839" s="2" t="str">
        <f>"9780804792479"</f>
        <v>9780804792479</v>
      </c>
      <c r="H2839" s="2" t="s">
        <v>14</v>
      </c>
      <c r="I2839" s="4">
        <v>43025.459722222222</v>
      </c>
      <c r="J2839" s="2" t="s">
        <v>10971</v>
      </c>
    </row>
    <row r="2840" spans="1:10" ht="135" x14ac:dyDescent="0.25">
      <c r="A2840" s="2" t="s">
        <v>94</v>
      </c>
      <c r="B2840" s="2">
        <v>323.63099999999997</v>
      </c>
      <c r="C2840" s="2" t="s">
        <v>153</v>
      </c>
      <c r="D2840" s="2" t="s">
        <v>1628</v>
      </c>
      <c r="E2840" s="2" t="s">
        <v>17</v>
      </c>
      <c r="F2840" s="3">
        <v>42591</v>
      </c>
      <c r="G2840" s="2" t="str">
        <f>"9781137580962"</f>
        <v>9781137580962</v>
      </c>
      <c r="H2840" s="2" t="s">
        <v>14</v>
      </c>
      <c r="I2840" s="4">
        <v>43934.938194444447</v>
      </c>
      <c r="J2840" s="2" t="s">
        <v>1629</v>
      </c>
    </row>
    <row r="2841" spans="1:10" ht="135" x14ac:dyDescent="0.25">
      <c r="A2841" s="2" t="s">
        <v>94</v>
      </c>
      <c r="B2841" s="2">
        <v>304.88009033999998</v>
      </c>
      <c r="C2841" s="2" t="s">
        <v>6605</v>
      </c>
      <c r="D2841" s="2" t="s">
        <v>6604</v>
      </c>
      <c r="E2841" s="2" t="s">
        <v>130</v>
      </c>
      <c r="F2841" s="3">
        <v>41926</v>
      </c>
      <c r="G2841" s="2" t="str">
        <f>"9780813055039"</f>
        <v>9780813055039</v>
      </c>
      <c r="H2841" s="2" t="s">
        <v>14</v>
      </c>
      <c r="I2841" s="4">
        <v>43504.649305555555</v>
      </c>
      <c r="J2841" s="2" t="s">
        <v>6606</v>
      </c>
    </row>
    <row r="2842" spans="1:10" ht="135" x14ac:dyDescent="0.25">
      <c r="A2842" s="2" t="s">
        <v>94</v>
      </c>
      <c r="B2842" s="2">
        <v>304.84931</v>
      </c>
      <c r="C2842" s="2" t="s">
        <v>3438</v>
      </c>
      <c r="D2842" s="2" t="s">
        <v>3437</v>
      </c>
      <c r="E2842" s="2" t="s">
        <v>521</v>
      </c>
      <c r="F2842" s="3">
        <v>43296</v>
      </c>
      <c r="G2842" s="2" t="str">
        <f>"9789461662552"</f>
        <v>9789461662552</v>
      </c>
      <c r="H2842" s="2" t="s">
        <v>14</v>
      </c>
      <c r="I2842" s="4">
        <v>43782.779166666667</v>
      </c>
      <c r="J2842" s="2" t="s">
        <v>3439</v>
      </c>
    </row>
    <row r="2843" spans="1:10" ht="150" x14ac:dyDescent="0.25">
      <c r="A2843" s="2" t="s">
        <v>94</v>
      </c>
      <c r="B2843" s="2">
        <v>303.60000000000002</v>
      </c>
      <c r="C2843" s="2" t="s">
        <v>7348</v>
      </c>
      <c r="D2843" s="2" t="s">
        <v>7347</v>
      </c>
      <c r="E2843" s="2" t="s">
        <v>268</v>
      </c>
      <c r="F2843" s="3">
        <v>43067</v>
      </c>
      <c r="G2843" s="2" t="str">
        <f>"9780815731900"</f>
        <v>9780815731900</v>
      </c>
      <c r="H2843" s="2" t="s">
        <v>14</v>
      </c>
      <c r="I2843" s="4">
        <v>43424.607638888891</v>
      </c>
      <c r="J2843" s="2" t="s">
        <v>7349</v>
      </c>
    </row>
    <row r="2844" spans="1:10" ht="135" x14ac:dyDescent="0.25">
      <c r="A2844" s="2" t="s">
        <v>94</v>
      </c>
      <c r="B2844" s="2">
        <v>304.8</v>
      </c>
      <c r="C2844" s="2" t="s">
        <v>1311</v>
      </c>
      <c r="D2844" s="2" t="s">
        <v>1310</v>
      </c>
      <c r="E2844" s="2" t="s">
        <v>322</v>
      </c>
      <c r="F2844" s="3">
        <v>43497</v>
      </c>
      <c r="G2844" s="2" t="str">
        <f>"9780820354286"</f>
        <v>9780820354286</v>
      </c>
      <c r="H2844" s="2" t="s">
        <v>14</v>
      </c>
      <c r="I2844" s="4">
        <v>43949.556250000001</v>
      </c>
      <c r="J2844" s="2" t="s">
        <v>1312</v>
      </c>
    </row>
    <row r="2845" spans="1:10" ht="135" x14ac:dyDescent="0.25">
      <c r="A2845" s="2" t="s">
        <v>94</v>
      </c>
      <c r="B2845" s="2">
        <v>320.08209729999999</v>
      </c>
      <c r="C2845" s="2" t="s">
        <v>10108</v>
      </c>
      <c r="D2845" s="2" t="s">
        <v>10107</v>
      </c>
      <c r="E2845" s="2" t="s">
        <v>328</v>
      </c>
      <c r="F2845" s="3">
        <v>41542</v>
      </c>
      <c r="G2845" s="2" t="str">
        <f>"9780739182048"</f>
        <v>9780739182048</v>
      </c>
      <c r="H2845" s="2" t="s">
        <v>14</v>
      </c>
      <c r="I2845" s="4">
        <v>43102.470833333333</v>
      </c>
      <c r="J2845" s="2" t="s">
        <v>10109</v>
      </c>
    </row>
    <row r="2846" spans="1:10" ht="165" x14ac:dyDescent="0.25">
      <c r="A2846" s="2" t="s">
        <v>94</v>
      </c>
      <c r="B2846" s="2">
        <v>324.13090449999999</v>
      </c>
      <c r="C2846" s="2" t="s">
        <v>3592</v>
      </c>
      <c r="D2846" s="2" t="s">
        <v>3591</v>
      </c>
      <c r="E2846" s="2" t="s">
        <v>156</v>
      </c>
      <c r="F2846" s="3">
        <v>43255</v>
      </c>
      <c r="G2846" s="2" t="str">
        <f>"9781469640754"</f>
        <v>9781469640754</v>
      </c>
      <c r="H2846" s="2" t="s">
        <v>14</v>
      </c>
      <c r="I2846" s="4">
        <v>43773.093055555553</v>
      </c>
      <c r="J2846" s="2" t="s">
        <v>3593</v>
      </c>
    </row>
    <row r="2847" spans="1:10" ht="135" x14ac:dyDescent="0.25">
      <c r="A2847" s="2" t="s">
        <v>94</v>
      </c>
      <c r="B2847" s="2" t="s">
        <v>9843</v>
      </c>
      <c r="C2847" s="2" t="s">
        <v>9844</v>
      </c>
      <c r="D2847" s="2" t="s">
        <v>9842</v>
      </c>
      <c r="E2847" s="2" t="s">
        <v>1698</v>
      </c>
      <c r="F2847" s="3">
        <v>42009</v>
      </c>
      <c r="G2847" s="2" t="str">
        <f>"9780674736283"</f>
        <v>9780674736283</v>
      </c>
      <c r="H2847" s="2" t="s">
        <v>14</v>
      </c>
      <c r="I2847" s="4">
        <v>43125.388888888891</v>
      </c>
      <c r="J2847" s="2" t="s">
        <v>9845</v>
      </c>
    </row>
    <row r="2848" spans="1:10" ht="135" x14ac:dyDescent="0.25">
      <c r="A2848" s="2" t="s">
        <v>94</v>
      </c>
      <c r="B2848" s="2">
        <v>306.36209200000002</v>
      </c>
      <c r="C2848" s="2" t="s">
        <v>2840</v>
      </c>
      <c r="D2848" s="2" t="s">
        <v>2838</v>
      </c>
      <c r="E2848" s="2" t="s">
        <v>2839</v>
      </c>
      <c r="F2848" s="3">
        <v>42856</v>
      </c>
      <c r="G2848" s="2" t="str">
        <f>"9781469633305"</f>
        <v>9781469633305</v>
      </c>
      <c r="H2848" s="2" t="s">
        <v>14</v>
      </c>
      <c r="I2848" s="4">
        <v>43850.428472222222</v>
      </c>
      <c r="J2848" s="2" t="s">
        <v>2841</v>
      </c>
    </row>
    <row r="2849" spans="1:10" ht="135" x14ac:dyDescent="0.25">
      <c r="A2849" s="2" t="s">
        <v>94</v>
      </c>
      <c r="B2849" s="2">
        <v>303.48500000000001</v>
      </c>
      <c r="C2849" s="2" t="s">
        <v>5119</v>
      </c>
      <c r="D2849" s="2" t="s">
        <v>5118</v>
      </c>
      <c r="E2849" s="2" t="s">
        <v>54</v>
      </c>
      <c r="F2849" s="3">
        <v>42969</v>
      </c>
      <c r="G2849" s="2" t="str">
        <f>"9781503603400"</f>
        <v>9781503603400</v>
      </c>
      <c r="H2849" s="2" t="s">
        <v>14</v>
      </c>
      <c r="I2849" s="4">
        <v>43609.895138888889</v>
      </c>
      <c r="J2849" s="2" t="s">
        <v>5120</v>
      </c>
    </row>
    <row r="2850" spans="1:10" ht="165" x14ac:dyDescent="0.25">
      <c r="A2850" s="2" t="s">
        <v>94</v>
      </c>
      <c r="B2850" s="2">
        <v>320.01</v>
      </c>
      <c r="C2850" s="2" t="s">
        <v>1082</v>
      </c>
      <c r="D2850" s="2" t="s">
        <v>5621</v>
      </c>
      <c r="E2850" s="2" t="s">
        <v>152</v>
      </c>
      <c r="F2850" s="3">
        <v>42709</v>
      </c>
      <c r="G2850" s="2" t="str">
        <f>"9789811021619"</f>
        <v>9789811021619</v>
      </c>
      <c r="H2850" s="2" t="s">
        <v>14</v>
      </c>
      <c r="I2850" s="4">
        <v>43585.772916666669</v>
      </c>
      <c r="J2850" s="2" t="s">
        <v>5622</v>
      </c>
    </row>
    <row r="2851" spans="1:10" ht="135" x14ac:dyDescent="0.25">
      <c r="A2851" s="2" t="s">
        <v>94</v>
      </c>
      <c r="B2851" s="2">
        <v>304.87307199999998</v>
      </c>
      <c r="C2851" s="2" t="s">
        <v>3445</v>
      </c>
      <c r="D2851" s="2" t="s">
        <v>3444</v>
      </c>
      <c r="E2851" s="2" t="s">
        <v>195</v>
      </c>
      <c r="F2851" s="3">
        <v>43214</v>
      </c>
      <c r="G2851" s="2" t="str">
        <f>"9780816538409"</f>
        <v>9780816538409</v>
      </c>
      <c r="H2851" s="2" t="s">
        <v>14</v>
      </c>
      <c r="I2851" s="4">
        <v>43782.720833333333</v>
      </c>
      <c r="J2851" s="2" t="s">
        <v>3446</v>
      </c>
    </row>
    <row r="2852" spans="1:10" ht="165" x14ac:dyDescent="0.25">
      <c r="A2852" s="2" t="s">
        <v>94</v>
      </c>
      <c r="B2852" s="2">
        <v>361.77097246</v>
      </c>
      <c r="C2852" s="2" t="s">
        <v>7227</v>
      </c>
      <c r="D2852" s="2" t="s">
        <v>7226</v>
      </c>
      <c r="E2852" s="2" t="s">
        <v>54</v>
      </c>
      <c r="F2852" s="3">
        <v>42494</v>
      </c>
      <c r="G2852" s="2" t="str">
        <f>"9780804799195"</f>
        <v>9780804799195</v>
      </c>
      <c r="H2852" s="2" t="s">
        <v>14</v>
      </c>
      <c r="I2852" s="4">
        <v>43432.640972222223</v>
      </c>
      <c r="J2852" s="2" t="s">
        <v>7228</v>
      </c>
    </row>
    <row r="2853" spans="1:10" ht="135" x14ac:dyDescent="0.25">
      <c r="A2853" s="2" t="s">
        <v>94</v>
      </c>
      <c r="B2853" s="2">
        <v>303.61</v>
      </c>
      <c r="C2853" s="2" t="s">
        <v>5445</v>
      </c>
      <c r="D2853" s="2" t="s">
        <v>5444</v>
      </c>
      <c r="E2853" s="2" t="s">
        <v>156</v>
      </c>
      <c r="F2853" s="3">
        <v>43045</v>
      </c>
      <c r="G2853" s="2" t="str">
        <f>"9781469635415"</f>
        <v>9781469635415</v>
      </c>
      <c r="H2853" s="2" t="s">
        <v>14</v>
      </c>
      <c r="I2853" s="4">
        <v>43598.559027777781</v>
      </c>
      <c r="J2853" s="2" t="s">
        <v>5446</v>
      </c>
    </row>
    <row r="2854" spans="1:10" ht="135" x14ac:dyDescent="0.25">
      <c r="A2854" s="2" t="s">
        <v>94</v>
      </c>
      <c r="B2854" s="2">
        <v>364.15320000000003</v>
      </c>
      <c r="C2854" s="2" t="s">
        <v>2989</v>
      </c>
      <c r="D2854" s="2" t="s">
        <v>2988</v>
      </c>
      <c r="E2854" s="2" t="s">
        <v>499</v>
      </c>
      <c r="F2854" s="3">
        <v>42948</v>
      </c>
      <c r="G2854" s="2" t="str">
        <f>"9781626164673"</f>
        <v>9781626164673</v>
      </c>
      <c r="H2854" s="2" t="s">
        <v>14</v>
      </c>
      <c r="I2854" s="4">
        <v>43836.474305555559</v>
      </c>
      <c r="J2854" s="2" t="s">
        <v>2990</v>
      </c>
    </row>
    <row r="2855" spans="1:10" ht="135" x14ac:dyDescent="0.25">
      <c r="A2855" s="2" t="s">
        <v>94</v>
      </c>
      <c r="D2855" s="2" t="s">
        <v>184</v>
      </c>
      <c r="E2855" s="2" t="s">
        <v>54</v>
      </c>
      <c r="F2855" s="3">
        <v>44026</v>
      </c>
      <c r="G2855" s="2" t="str">
        <f>"9781503612679"</f>
        <v>9781503612679</v>
      </c>
      <c r="H2855" s="2" t="s">
        <v>14</v>
      </c>
      <c r="I2855" s="4">
        <v>44063.449305555558</v>
      </c>
      <c r="J2855" s="2" t="s">
        <v>185</v>
      </c>
    </row>
    <row r="2856" spans="1:10" ht="135" x14ac:dyDescent="0.25">
      <c r="A2856" s="2" t="s">
        <v>2270</v>
      </c>
      <c r="D2856" s="2" t="s">
        <v>2269</v>
      </c>
      <c r="E2856" s="2" t="s">
        <v>73</v>
      </c>
      <c r="F2856" s="3">
        <v>43802</v>
      </c>
      <c r="G2856" s="2" t="str">
        <f>"9781452964669"</f>
        <v>9781452964669</v>
      </c>
      <c r="H2856" s="2" t="s">
        <v>14</v>
      </c>
      <c r="I2856" s="4">
        <v>43896.394444444442</v>
      </c>
      <c r="J2856" s="2" t="s">
        <v>2271</v>
      </c>
    </row>
    <row r="2857" spans="1:10" ht="135" x14ac:dyDescent="0.25">
      <c r="A2857" s="2" t="s">
        <v>411</v>
      </c>
      <c r="D2857" s="2" t="s">
        <v>410</v>
      </c>
      <c r="E2857" s="2" t="s">
        <v>156</v>
      </c>
      <c r="F2857" s="3">
        <v>43934</v>
      </c>
      <c r="G2857" s="2" t="str">
        <f>"9781469654317"</f>
        <v>9781469654317</v>
      </c>
      <c r="H2857" s="2" t="s">
        <v>14</v>
      </c>
      <c r="I2857" s="4">
        <v>44026.345833333333</v>
      </c>
      <c r="J2857" s="2" t="s">
        <v>412</v>
      </c>
    </row>
    <row r="2858" spans="1:10" ht="135" x14ac:dyDescent="0.25">
      <c r="A2858" s="2" t="s">
        <v>601</v>
      </c>
      <c r="B2858" s="2">
        <v>150.1</v>
      </c>
      <c r="C2858" s="2" t="s">
        <v>12188</v>
      </c>
      <c r="D2858" s="2" t="s">
        <v>12187</v>
      </c>
      <c r="E2858" s="2" t="s">
        <v>1698</v>
      </c>
      <c r="F2858" s="3">
        <v>41641</v>
      </c>
      <c r="G2858" s="2" t="str">
        <f>"9780674726581"</f>
        <v>9780674726581</v>
      </c>
      <c r="H2858" s="2" t="s">
        <v>14</v>
      </c>
      <c r="I2858" s="4">
        <v>42837.676388888889</v>
      </c>
      <c r="J2858" s="2" t="s">
        <v>12189</v>
      </c>
    </row>
    <row r="2859" spans="1:10" ht="135" x14ac:dyDescent="0.25">
      <c r="A2859" s="2" t="s">
        <v>601</v>
      </c>
      <c r="B2859" s="2" t="s">
        <v>8529</v>
      </c>
      <c r="C2859" s="2" t="s">
        <v>8530</v>
      </c>
      <c r="D2859" s="2" t="s">
        <v>8528</v>
      </c>
      <c r="E2859" s="2" t="s">
        <v>216</v>
      </c>
      <c r="F2859" s="3">
        <v>42948</v>
      </c>
      <c r="G2859" s="2" t="str">
        <f>"9781438469799"</f>
        <v>9781438469799</v>
      </c>
      <c r="H2859" s="2" t="s">
        <v>14</v>
      </c>
      <c r="I2859" s="4">
        <v>43295.655555555553</v>
      </c>
      <c r="J2859" s="2" t="s">
        <v>8531</v>
      </c>
    </row>
    <row r="2860" spans="1:10" ht="135" x14ac:dyDescent="0.25">
      <c r="A2860" s="2" t="s">
        <v>601</v>
      </c>
      <c r="B2860" s="2">
        <v>155.69999999999999</v>
      </c>
      <c r="C2860" s="2" t="s">
        <v>1848</v>
      </c>
      <c r="D2860" s="2" t="s">
        <v>1847</v>
      </c>
      <c r="E2860" s="2" t="s">
        <v>585</v>
      </c>
      <c r="F2860" s="3">
        <v>31959</v>
      </c>
      <c r="G2860" s="2" t="str">
        <f>"9780226149516"</f>
        <v>9780226149516</v>
      </c>
      <c r="H2860" s="2" t="s">
        <v>14</v>
      </c>
      <c r="I2860" s="4">
        <v>43924.59097222222</v>
      </c>
      <c r="J2860" s="2" t="s">
        <v>1849</v>
      </c>
    </row>
    <row r="2861" spans="1:10" ht="135" x14ac:dyDescent="0.25">
      <c r="A2861" s="2" t="s">
        <v>601</v>
      </c>
      <c r="B2861" s="2">
        <v>155.93700000000001</v>
      </c>
      <c r="C2861" s="2" t="s">
        <v>1396</v>
      </c>
      <c r="D2861" s="2" t="s">
        <v>6776</v>
      </c>
      <c r="E2861" s="2" t="s">
        <v>856</v>
      </c>
      <c r="F2861" s="3">
        <v>42675</v>
      </c>
      <c r="G2861" s="2" t="str">
        <f>"9780295999289"</f>
        <v>9780295999289</v>
      </c>
      <c r="H2861" s="2" t="s">
        <v>14</v>
      </c>
      <c r="I2861" s="4">
        <v>43487.390972222223</v>
      </c>
      <c r="J2861" s="2" t="s">
        <v>6777</v>
      </c>
    </row>
    <row r="2862" spans="1:10" ht="135" x14ac:dyDescent="0.25">
      <c r="A2862" s="2" t="s">
        <v>601</v>
      </c>
      <c r="B2862" s="2">
        <v>155.07210000000001</v>
      </c>
      <c r="C2862" s="2" t="s">
        <v>1712</v>
      </c>
      <c r="D2862" s="2" t="s">
        <v>1711</v>
      </c>
      <c r="E2862" s="2" t="s">
        <v>1706</v>
      </c>
      <c r="F2862" s="3">
        <v>40850</v>
      </c>
      <c r="G2862" s="2" t="str">
        <f>"9781609189501"</f>
        <v>9781609189501</v>
      </c>
      <c r="H2862" s="2" t="s">
        <v>14</v>
      </c>
      <c r="I2862" s="4">
        <v>43930.87222222222</v>
      </c>
      <c r="J2862" s="2" t="s">
        <v>1713</v>
      </c>
    </row>
    <row r="2863" spans="1:10" ht="135" x14ac:dyDescent="0.25">
      <c r="A2863" s="2" t="s">
        <v>601</v>
      </c>
      <c r="B2863" s="2">
        <v>153.9</v>
      </c>
      <c r="C2863" s="2" t="s">
        <v>10269</v>
      </c>
      <c r="D2863" s="2" t="s">
        <v>10268</v>
      </c>
      <c r="E2863" s="2" t="s">
        <v>54</v>
      </c>
      <c r="F2863" s="3">
        <v>42319</v>
      </c>
      <c r="G2863" s="2" t="str">
        <f>"9780804797054"</f>
        <v>9780804797054</v>
      </c>
      <c r="H2863" s="2" t="s">
        <v>14</v>
      </c>
      <c r="I2863" s="4">
        <v>43074.616666666669</v>
      </c>
      <c r="J2863" s="2" t="s">
        <v>10270</v>
      </c>
    </row>
    <row r="2864" spans="1:10" ht="135" x14ac:dyDescent="0.25">
      <c r="A2864" s="2" t="s">
        <v>601</v>
      </c>
      <c r="B2864" s="2">
        <v>153.80000000000001</v>
      </c>
      <c r="C2864" s="2" t="s">
        <v>1238</v>
      </c>
      <c r="D2864" s="2" t="s">
        <v>1237</v>
      </c>
      <c r="E2864" s="2" t="s">
        <v>73</v>
      </c>
      <c r="F2864" s="3">
        <v>42583</v>
      </c>
      <c r="G2864" s="2" t="str">
        <f>"9781452951805"</f>
        <v>9781452951805</v>
      </c>
      <c r="H2864" s="2" t="s">
        <v>14</v>
      </c>
      <c r="I2864" s="4">
        <v>43953.699305555558</v>
      </c>
      <c r="J2864" s="2" t="s">
        <v>1239</v>
      </c>
    </row>
    <row r="2865" spans="1:10" ht="135" x14ac:dyDescent="0.25">
      <c r="A2865" s="2" t="s">
        <v>601</v>
      </c>
      <c r="B2865" s="2">
        <v>150.19509199999999</v>
      </c>
      <c r="C2865" s="2" t="s">
        <v>2253</v>
      </c>
      <c r="D2865" s="2" t="s">
        <v>2252</v>
      </c>
      <c r="E2865" s="2" t="s">
        <v>97</v>
      </c>
      <c r="F2865" s="3">
        <v>41765</v>
      </c>
      <c r="G2865" s="2" t="str">
        <f>"9780231535359"</f>
        <v>9780231535359</v>
      </c>
      <c r="H2865" s="2" t="s">
        <v>14</v>
      </c>
      <c r="I2865" s="4">
        <v>43897.572222222225</v>
      </c>
      <c r="J2865" s="2" t="s">
        <v>2254</v>
      </c>
    </row>
    <row r="2866" spans="1:10" ht="135" x14ac:dyDescent="0.25">
      <c r="A2866" s="2" t="s">
        <v>601</v>
      </c>
      <c r="B2866" s="2">
        <v>155.33308995100001</v>
      </c>
      <c r="C2866" s="2" t="s">
        <v>1559</v>
      </c>
      <c r="D2866" s="2" t="s">
        <v>1557</v>
      </c>
      <c r="E2866" s="2" t="s">
        <v>1558</v>
      </c>
      <c r="F2866" s="3">
        <v>43483</v>
      </c>
      <c r="G2866" s="2" t="str">
        <f>"9780190604622"</f>
        <v>9780190604622</v>
      </c>
      <c r="H2866" s="2" t="s">
        <v>14</v>
      </c>
      <c r="I2866" s="4">
        <v>43937.673611111109</v>
      </c>
      <c r="J2866" s="2" t="s">
        <v>1560</v>
      </c>
    </row>
    <row r="2867" spans="1:10" ht="135" x14ac:dyDescent="0.25">
      <c r="A2867" s="2" t="s">
        <v>601</v>
      </c>
      <c r="B2867" s="2">
        <v>155.24</v>
      </c>
      <c r="C2867" s="2" t="s">
        <v>1198</v>
      </c>
      <c r="D2867" s="2" t="s">
        <v>1197</v>
      </c>
      <c r="E2867" s="2" t="s">
        <v>212</v>
      </c>
      <c r="F2867" s="3">
        <v>43762</v>
      </c>
      <c r="G2867" s="2" t="str">
        <f>"9789956551736"</f>
        <v>9789956551736</v>
      </c>
      <c r="H2867" s="2" t="s">
        <v>14</v>
      </c>
      <c r="I2867" s="4">
        <v>43956.592361111114</v>
      </c>
      <c r="J2867" s="2" t="s">
        <v>1199</v>
      </c>
    </row>
    <row r="2868" spans="1:10" ht="135" x14ac:dyDescent="0.25">
      <c r="A2868" s="2" t="s">
        <v>601</v>
      </c>
      <c r="B2868" s="2">
        <v>152.4</v>
      </c>
      <c r="C2868" s="2" t="s">
        <v>2906</v>
      </c>
      <c r="D2868" s="2" t="s">
        <v>2905</v>
      </c>
      <c r="E2868" s="2" t="s">
        <v>460</v>
      </c>
      <c r="F2868" s="3">
        <v>43790</v>
      </c>
      <c r="G2868" s="2" t="str">
        <f>"9780773559523"</f>
        <v>9780773559523</v>
      </c>
      <c r="H2868" s="2" t="s">
        <v>14</v>
      </c>
      <c r="I2868" s="4">
        <v>43844.617361111108</v>
      </c>
      <c r="J2868" s="2" t="s">
        <v>2907</v>
      </c>
    </row>
    <row r="2869" spans="1:10" ht="135" x14ac:dyDescent="0.25">
      <c r="A2869" s="2" t="s">
        <v>601</v>
      </c>
      <c r="B2869" s="2" t="s">
        <v>602</v>
      </c>
      <c r="C2869" s="2" t="s">
        <v>603</v>
      </c>
      <c r="D2869" s="2" t="s">
        <v>600</v>
      </c>
      <c r="E2869" s="2" t="s">
        <v>235</v>
      </c>
      <c r="F2869" s="3">
        <v>42185</v>
      </c>
      <c r="G2869" s="2" t="str">
        <f>"9781440830020"</f>
        <v>9781440830020</v>
      </c>
      <c r="H2869" s="2" t="s">
        <v>14</v>
      </c>
      <c r="I2869" s="4">
        <v>44008.557638888888</v>
      </c>
      <c r="J2869" s="2" t="s">
        <v>604</v>
      </c>
    </row>
    <row r="2870" spans="1:10" ht="135" x14ac:dyDescent="0.25">
      <c r="A2870" s="2" t="s">
        <v>601</v>
      </c>
      <c r="B2870" s="2" t="s">
        <v>9893</v>
      </c>
      <c r="C2870" s="2" t="s">
        <v>9894</v>
      </c>
      <c r="D2870" s="2" t="s">
        <v>9892</v>
      </c>
      <c r="E2870" s="2" t="s">
        <v>578</v>
      </c>
      <c r="F2870" s="3">
        <v>42989</v>
      </c>
      <c r="G2870" s="2" t="str">
        <f>"9780252050008"</f>
        <v>9780252050008</v>
      </c>
      <c r="H2870" s="2" t="s">
        <v>14</v>
      </c>
      <c r="I2870" s="4">
        <v>43122.479861111111</v>
      </c>
      <c r="J2870" s="2" t="s">
        <v>9895</v>
      </c>
    </row>
    <row r="2871" spans="1:10" ht="135" x14ac:dyDescent="0.25">
      <c r="A2871" s="2" t="s">
        <v>601</v>
      </c>
      <c r="B2871" s="2" t="s">
        <v>2021</v>
      </c>
      <c r="C2871" s="2" t="s">
        <v>2022</v>
      </c>
      <c r="D2871" s="2" t="s">
        <v>2020</v>
      </c>
      <c r="E2871" s="2" t="s">
        <v>1578</v>
      </c>
      <c r="F2871" s="3">
        <v>37985</v>
      </c>
      <c r="G2871" s="2" t="str">
        <f>"9780745674704"</f>
        <v>9780745674704</v>
      </c>
      <c r="H2871" s="2" t="s">
        <v>14</v>
      </c>
      <c r="I2871" s="4">
        <v>43917.684027777781</v>
      </c>
      <c r="J2871" s="2" t="s">
        <v>2023</v>
      </c>
    </row>
    <row r="2872" spans="1:10" ht="135" x14ac:dyDescent="0.25">
      <c r="A2872" s="2" t="s">
        <v>601</v>
      </c>
      <c r="B2872" s="2">
        <v>155.25</v>
      </c>
      <c r="C2872" s="2" t="s">
        <v>12068</v>
      </c>
      <c r="D2872" s="2" t="s">
        <v>12067</v>
      </c>
      <c r="E2872" s="2" t="s">
        <v>216</v>
      </c>
      <c r="F2872" s="3">
        <v>42248</v>
      </c>
      <c r="G2872" s="2" t="str">
        <f>"9781438457529"</f>
        <v>9781438457529</v>
      </c>
      <c r="H2872" s="2" t="s">
        <v>14</v>
      </c>
      <c r="I2872" s="4">
        <v>42854.878472222219</v>
      </c>
      <c r="J2872" s="2" t="s">
        <v>12069</v>
      </c>
    </row>
    <row r="2873" spans="1:10" ht="135" x14ac:dyDescent="0.25">
      <c r="A2873" s="2" t="s">
        <v>601</v>
      </c>
      <c r="B2873" s="2" t="s">
        <v>10882</v>
      </c>
      <c r="C2873" s="2" t="s">
        <v>10883</v>
      </c>
      <c r="D2873" s="2" t="s">
        <v>10881</v>
      </c>
      <c r="E2873" s="2" t="s">
        <v>1706</v>
      </c>
      <c r="F2873" s="3">
        <v>42054</v>
      </c>
      <c r="G2873" s="2" t="str">
        <f>"9781462519965"</f>
        <v>9781462519965</v>
      </c>
      <c r="H2873" s="2" t="s">
        <v>14</v>
      </c>
      <c r="I2873" s="4">
        <v>43030.885416666664</v>
      </c>
      <c r="J2873" s="2" t="s">
        <v>10884</v>
      </c>
    </row>
    <row r="2874" spans="1:10" ht="135" x14ac:dyDescent="0.25">
      <c r="A2874" s="2" t="s">
        <v>601</v>
      </c>
      <c r="B2874" s="2" t="s">
        <v>3871</v>
      </c>
      <c r="C2874" s="2" t="s">
        <v>3872</v>
      </c>
      <c r="D2874" s="2" t="s">
        <v>3870</v>
      </c>
      <c r="E2874" s="2" t="s">
        <v>54</v>
      </c>
      <c r="F2874" s="3">
        <v>43207</v>
      </c>
      <c r="G2874" s="2" t="str">
        <f>"9781503605510"</f>
        <v>9781503605510</v>
      </c>
      <c r="H2874" s="2" t="s">
        <v>14</v>
      </c>
      <c r="I2874" s="4">
        <v>43747.666666666664</v>
      </c>
      <c r="J2874" s="2" t="s">
        <v>3873</v>
      </c>
    </row>
    <row r="2875" spans="1:10" ht="135" x14ac:dyDescent="0.25">
      <c r="A2875" s="2" t="s">
        <v>601</v>
      </c>
      <c r="B2875" s="2">
        <v>155.19999999999899</v>
      </c>
      <c r="C2875" s="2" t="s">
        <v>11637</v>
      </c>
      <c r="D2875" s="2" t="s">
        <v>11636</v>
      </c>
      <c r="E2875" s="2" t="s">
        <v>80</v>
      </c>
      <c r="F2875" s="3">
        <v>42475</v>
      </c>
      <c r="G2875" s="2" t="str">
        <f>"9783653065893"</f>
        <v>9783653065893</v>
      </c>
      <c r="H2875" s="2" t="s">
        <v>14</v>
      </c>
      <c r="I2875" s="4">
        <v>42916.695138888892</v>
      </c>
      <c r="J2875" s="2" t="s">
        <v>11638</v>
      </c>
    </row>
    <row r="2876" spans="1:10" ht="135" x14ac:dyDescent="0.25">
      <c r="A2876" s="2" t="s">
        <v>601</v>
      </c>
      <c r="B2876" s="2" t="s">
        <v>10181</v>
      </c>
      <c r="C2876" s="2" t="s">
        <v>10182</v>
      </c>
      <c r="D2876" s="2" t="s">
        <v>10180</v>
      </c>
      <c r="E2876" s="2" t="s">
        <v>54</v>
      </c>
      <c r="F2876" s="3">
        <v>42927</v>
      </c>
      <c r="G2876" s="2" t="str">
        <f>"9781503602472"</f>
        <v>9781503602472</v>
      </c>
      <c r="H2876" s="2" t="s">
        <v>14</v>
      </c>
      <c r="I2876" s="4">
        <v>43086.618750000001</v>
      </c>
      <c r="J2876" s="2" t="s">
        <v>10183</v>
      </c>
    </row>
    <row r="2877" spans="1:10" ht="135" x14ac:dyDescent="0.25">
      <c r="A2877" s="2" t="s">
        <v>601</v>
      </c>
      <c r="B2877" s="2" t="s">
        <v>3871</v>
      </c>
      <c r="C2877" s="2" t="s">
        <v>10325</v>
      </c>
      <c r="D2877" s="2" t="s">
        <v>10324</v>
      </c>
      <c r="E2877" s="2" t="s">
        <v>73</v>
      </c>
      <c r="F2877" s="3">
        <v>41760</v>
      </c>
      <c r="G2877" s="2" t="str">
        <f>"9781452942278"</f>
        <v>9781452942278</v>
      </c>
      <c r="H2877" s="2" t="s">
        <v>14</v>
      </c>
      <c r="I2877" s="4">
        <v>43068.583333333336</v>
      </c>
      <c r="J2877" s="2" t="s">
        <v>10326</v>
      </c>
    </row>
    <row r="2878" spans="1:10" ht="180" x14ac:dyDescent="0.25">
      <c r="A2878" s="2" t="s">
        <v>601</v>
      </c>
      <c r="B2878" s="2" t="s">
        <v>930</v>
      </c>
      <c r="C2878" s="2" t="s">
        <v>931</v>
      </c>
      <c r="D2878" s="2" t="s">
        <v>929</v>
      </c>
      <c r="E2878" s="2" t="s">
        <v>17</v>
      </c>
      <c r="F2878" s="3">
        <v>42403</v>
      </c>
      <c r="G2878" s="2" t="str">
        <f>"9780230370869"</f>
        <v>9780230370869</v>
      </c>
      <c r="H2878" s="2" t="s">
        <v>14</v>
      </c>
      <c r="I2878" s="4">
        <v>43974.686111111114</v>
      </c>
      <c r="J2878" s="2" t="s">
        <v>932</v>
      </c>
    </row>
    <row r="2879" spans="1:10" ht="135" x14ac:dyDescent="0.25">
      <c r="A2879" s="2" t="s">
        <v>601</v>
      </c>
      <c r="B2879" s="2" t="s">
        <v>11727</v>
      </c>
      <c r="C2879" s="2" t="s">
        <v>11728</v>
      </c>
      <c r="D2879" s="2" t="s">
        <v>11726</v>
      </c>
      <c r="E2879" s="2" t="s">
        <v>89</v>
      </c>
      <c r="F2879" s="3">
        <v>42278</v>
      </c>
      <c r="G2879" s="2" t="str">
        <f>"9781782388319"</f>
        <v>9781782388319</v>
      </c>
      <c r="H2879" s="2" t="s">
        <v>14</v>
      </c>
      <c r="I2879" s="4">
        <v>42906.472222222219</v>
      </c>
      <c r="J2879" s="2" t="s">
        <v>11729</v>
      </c>
    </row>
    <row r="2880" spans="1:10" ht="135" x14ac:dyDescent="0.25">
      <c r="A2880" s="2" t="s">
        <v>601</v>
      </c>
      <c r="B2880" s="2" t="s">
        <v>6669</v>
      </c>
      <c r="C2880" s="2" t="s">
        <v>6670</v>
      </c>
      <c r="D2880" s="2" t="s">
        <v>6668</v>
      </c>
      <c r="E2880" s="2" t="s">
        <v>73</v>
      </c>
      <c r="F2880" s="3">
        <v>42461</v>
      </c>
      <c r="G2880" s="2" t="str">
        <f>"9781452950006"</f>
        <v>9781452950006</v>
      </c>
      <c r="H2880" s="2" t="s">
        <v>14</v>
      </c>
      <c r="I2880" s="4">
        <v>43498.783333333333</v>
      </c>
      <c r="J2880" s="2" t="s">
        <v>6671</v>
      </c>
    </row>
    <row r="2881" spans="1:10" ht="135" x14ac:dyDescent="0.25">
      <c r="A2881" s="2" t="s">
        <v>601</v>
      </c>
      <c r="B2881" s="2">
        <v>158</v>
      </c>
      <c r="C2881" s="2" t="s">
        <v>10154</v>
      </c>
      <c r="D2881" s="2" t="s">
        <v>10152</v>
      </c>
      <c r="E2881" s="2" t="s">
        <v>10153</v>
      </c>
      <c r="F2881" s="3">
        <v>39845</v>
      </c>
      <c r="G2881" s="2" t="str">
        <f>"9781608823642"</f>
        <v>9781608823642</v>
      </c>
      <c r="H2881" s="2" t="s">
        <v>14</v>
      </c>
      <c r="I2881" s="4">
        <v>43090.808333333334</v>
      </c>
      <c r="J2881" s="2" t="s">
        <v>10155</v>
      </c>
    </row>
    <row r="2882" spans="1:10" ht="135" x14ac:dyDescent="0.25">
      <c r="A2882" s="2" t="s">
        <v>601</v>
      </c>
      <c r="B2882" s="2">
        <v>150.91999999999999</v>
      </c>
      <c r="C2882" s="2" t="s">
        <v>12202</v>
      </c>
      <c r="D2882" s="2" t="s">
        <v>12201</v>
      </c>
      <c r="E2882" s="2" t="s">
        <v>156</v>
      </c>
      <c r="F2882" s="3">
        <v>42856</v>
      </c>
      <c r="G2882" s="2" t="str">
        <f>"9781469631264"</f>
        <v>9781469631264</v>
      </c>
      <c r="H2882" s="2" t="s">
        <v>14</v>
      </c>
      <c r="I2882" s="4">
        <v>42836.45208333333</v>
      </c>
      <c r="J2882" s="2" t="s">
        <v>12203</v>
      </c>
    </row>
    <row r="2883" spans="1:10" ht="135" x14ac:dyDescent="0.25">
      <c r="A2883" s="2" t="s">
        <v>1299</v>
      </c>
      <c r="B2883" s="2">
        <v>646.70095100000003</v>
      </c>
      <c r="C2883" s="2" t="s">
        <v>1300</v>
      </c>
      <c r="D2883" s="2" t="s">
        <v>1298</v>
      </c>
      <c r="E2883" s="2" t="s">
        <v>221</v>
      </c>
      <c r="F2883" s="3">
        <v>43465</v>
      </c>
      <c r="G2883" s="2" t="str">
        <f>"9789888455515"</f>
        <v>9789888455515</v>
      </c>
      <c r="H2883" s="2" t="s">
        <v>14</v>
      </c>
      <c r="I2883" s="4">
        <v>43950.603472222225</v>
      </c>
      <c r="J2883" s="2" t="s">
        <v>1301</v>
      </c>
    </row>
    <row r="2884" spans="1:10" ht="135" x14ac:dyDescent="0.25">
      <c r="A2884" s="2" t="s">
        <v>10095</v>
      </c>
      <c r="B2884" s="2">
        <v>616.89142000000004</v>
      </c>
      <c r="C2884" s="2" t="s">
        <v>10096</v>
      </c>
      <c r="D2884" s="2" t="s">
        <v>10094</v>
      </c>
      <c r="E2884" s="2" t="s">
        <v>1706</v>
      </c>
      <c r="F2884" s="3">
        <v>39304</v>
      </c>
      <c r="G2884" s="2" t="str">
        <f>"9781593858490"</f>
        <v>9781593858490</v>
      </c>
      <c r="H2884" s="2" t="s">
        <v>14</v>
      </c>
      <c r="I2884" s="4">
        <v>43103.831250000003</v>
      </c>
      <c r="J2884" s="2" t="s">
        <v>10097</v>
      </c>
    </row>
    <row r="2885" spans="1:10" ht="135" x14ac:dyDescent="0.25">
      <c r="A2885" s="2" t="s">
        <v>379</v>
      </c>
      <c r="B2885" s="2">
        <v>128</v>
      </c>
      <c r="C2885" s="2" t="s">
        <v>380</v>
      </c>
      <c r="D2885" s="2" t="s">
        <v>378</v>
      </c>
      <c r="E2885" s="2" t="s">
        <v>216</v>
      </c>
      <c r="F2885" s="3">
        <v>43101</v>
      </c>
      <c r="G2885" s="2" t="str">
        <f>"9781438468921"</f>
        <v>9781438468921</v>
      </c>
      <c r="H2885" s="2" t="s">
        <v>14</v>
      </c>
      <c r="I2885" s="4">
        <v>44029.84375</v>
      </c>
      <c r="J2885" s="2" t="s">
        <v>381</v>
      </c>
    </row>
    <row r="2886" spans="1:10" ht="135" x14ac:dyDescent="0.25">
      <c r="A2886" s="2" t="s">
        <v>379</v>
      </c>
      <c r="B2886" s="2" t="s">
        <v>10754</v>
      </c>
      <c r="C2886" s="2" t="s">
        <v>10755</v>
      </c>
      <c r="D2886" s="2" t="s">
        <v>10753</v>
      </c>
      <c r="E2886" s="2" t="s">
        <v>674</v>
      </c>
      <c r="F2886" s="3">
        <v>42156</v>
      </c>
      <c r="G2886" s="2" t="str">
        <f>"9780823265183"</f>
        <v>9780823265183</v>
      </c>
      <c r="H2886" s="2" t="s">
        <v>14</v>
      </c>
      <c r="I2886" s="4">
        <v>43038.829861111109</v>
      </c>
      <c r="J2886" s="2" t="s">
        <v>10756</v>
      </c>
    </row>
    <row r="2887" spans="1:10" ht="135" x14ac:dyDescent="0.25">
      <c r="A2887" s="2" t="s">
        <v>9816</v>
      </c>
      <c r="B2887" s="2" t="s">
        <v>9817</v>
      </c>
      <c r="C2887" s="2" t="s">
        <v>9818</v>
      </c>
      <c r="D2887" s="2" t="s">
        <v>9815</v>
      </c>
      <c r="E2887" s="2" t="s">
        <v>121</v>
      </c>
      <c r="F2887" s="3">
        <v>42887</v>
      </c>
      <c r="G2887" s="2" t="str">
        <f>"9781609175207"</f>
        <v>9781609175207</v>
      </c>
      <c r="H2887" s="2" t="s">
        <v>14</v>
      </c>
      <c r="I2887" s="4">
        <v>43127.918055555558</v>
      </c>
      <c r="J2887" s="2" t="s">
        <v>9819</v>
      </c>
    </row>
    <row r="2888" spans="1:10" ht="135" x14ac:dyDescent="0.25">
      <c r="A2888" s="2" t="s">
        <v>799</v>
      </c>
      <c r="B2888" s="2">
        <v>302.34096699999998</v>
      </c>
      <c r="C2888" s="2" t="s">
        <v>11160</v>
      </c>
      <c r="D2888" s="2" t="s">
        <v>11159</v>
      </c>
      <c r="E2888" s="2" t="s">
        <v>89</v>
      </c>
      <c r="F2888" s="3">
        <v>41760</v>
      </c>
      <c r="G2888" s="2" t="str">
        <f>"9781782382874"</f>
        <v>9781782382874</v>
      </c>
      <c r="H2888" s="2" t="s">
        <v>14</v>
      </c>
      <c r="I2888" s="4">
        <v>43011.705555555556</v>
      </c>
      <c r="J2888" s="2" t="s">
        <v>11161</v>
      </c>
    </row>
    <row r="2889" spans="1:10" ht="150" x14ac:dyDescent="0.25">
      <c r="A2889" s="2" t="s">
        <v>799</v>
      </c>
      <c r="D2889" s="2" t="s">
        <v>797</v>
      </c>
      <c r="E2889" s="2" t="s">
        <v>798</v>
      </c>
      <c r="F2889" s="3">
        <v>43858</v>
      </c>
      <c r="G2889" s="2" t="str">
        <f>"9781728209821"</f>
        <v>9781728209821</v>
      </c>
      <c r="H2889" s="2" t="s">
        <v>14</v>
      </c>
      <c r="I2889" s="4">
        <v>43986.504166666666</v>
      </c>
      <c r="J2889" s="2" t="s">
        <v>800</v>
      </c>
    </row>
    <row r="2890" spans="1:10" ht="135" x14ac:dyDescent="0.25">
      <c r="A2890" s="2" t="s">
        <v>799</v>
      </c>
      <c r="B2890" s="2" t="s">
        <v>4343</v>
      </c>
      <c r="C2890" s="2" t="s">
        <v>4344</v>
      </c>
      <c r="D2890" s="2" t="s">
        <v>4342</v>
      </c>
      <c r="E2890" s="2" t="s">
        <v>460</v>
      </c>
      <c r="F2890" s="3">
        <v>43402</v>
      </c>
      <c r="G2890" s="2" t="str">
        <f>"9780773555488"</f>
        <v>9780773555488</v>
      </c>
      <c r="H2890" s="2" t="s">
        <v>14</v>
      </c>
      <c r="I2890" s="4">
        <v>43679.48541666667</v>
      </c>
      <c r="J2890" s="2" t="s">
        <v>4345</v>
      </c>
    </row>
    <row r="2891" spans="1:10" ht="135" x14ac:dyDescent="0.25">
      <c r="A2891" s="2" t="s">
        <v>799</v>
      </c>
      <c r="B2891" s="2" t="s">
        <v>4418</v>
      </c>
      <c r="C2891" s="2" t="s">
        <v>4419</v>
      </c>
      <c r="D2891" s="2" t="s">
        <v>4417</v>
      </c>
      <c r="E2891" s="2" t="s">
        <v>73</v>
      </c>
      <c r="F2891" s="3">
        <v>43186</v>
      </c>
      <c r="G2891" s="2" t="str">
        <f>"9781452957036"</f>
        <v>9781452957036</v>
      </c>
      <c r="H2891" s="2" t="s">
        <v>14</v>
      </c>
      <c r="I2891" s="4">
        <v>43670.669444444444</v>
      </c>
      <c r="J2891" s="2" t="s">
        <v>4420</v>
      </c>
    </row>
    <row r="2892" spans="1:10" ht="135" x14ac:dyDescent="0.25">
      <c r="A2892" s="2" t="s">
        <v>799</v>
      </c>
      <c r="B2892" s="2">
        <v>155.91</v>
      </c>
      <c r="C2892" s="2" t="s">
        <v>153</v>
      </c>
      <c r="D2892" s="2" t="s">
        <v>1795</v>
      </c>
      <c r="E2892" s="2" t="s">
        <v>37</v>
      </c>
      <c r="F2892" s="3">
        <v>43377</v>
      </c>
      <c r="G2892" s="2" t="str">
        <f>"9783319976730"</f>
        <v>9783319976730</v>
      </c>
      <c r="H2892" s="2" t="s">
        <v>14</v>
      </c>
      <c r="I2892" s="4">
        <v>43926.851388888892</v>
      </c>
      <c r="J2892" s="2" t="s">
        <v>1796</v>
      </c>
    </row>
    <row r="2893" spans="1:10" ht="150" x14ac:dyDescent="0.25">
      <c r="A2893" s="2" t="s">
        <v>10949</v>
      </c>
      <c r="B2893" s="2">
        <v>362.2</v>
      </c>
      <c r="C2893" s="2" t="s">
        <v>931</v>
      </c>
      <c r="D2893" s="2" t="s">
        <v>10948</v>
      </c>
      <c r="E2893" s="2" t="s">
        <v>37</v>
      </c>
      <c r="F2893" s="3">
        <v>43014</v>
      </c>
      <c r="G2893" s="2" t="str">
        <f>"9783319600956"</f>
        <v>9783319600956</v>
      </c>
      <c r="H2893" s="2" t="s">
        <v>14</v>
      </c>
      <c r="I2893" s="4">
        <v>43027.413194444445</v>
      </c>
      <c r="J2893" s="2" t="s">
        <v>10950</v>
      </c>
    </row>
    <row r="2894" spans="1:10" ht="195" x14ac:dyDescent="0.25">
      <c r="A2894" s="2" t="s">
        <v>1836</v>
      </c>
      <c r="B2894" s="2">
        <v>70.5</v>
      </c>
      <c r="C2894" s="2" t="s">
        <v>9594</v>
      </c>
      <c r="D2894" s="2" t="s">
        <v>9593</v>
      </c>
      <c r="E2894" s="2" t="s">
        <v>561</v>
      </c>
      <c r="F2894" s="3">
        <v>43053</v>
      </c>
      <c r="G2894" s="2" t="str">
        <f>"9789088904851"</f>
        <v>9789088904851</v>
      </c>
      <c r="H2894" s="2" t="s">
        <v>14</v>
      </c>
      <c r="I2894" s="4">
        <v>43148.78402777778</v>
      </c>
      <c r="J2894" s="2" t="s">
        <v>9595</v>
      </c>
    </row>
    <row r="2895" spans="1:10" ht="135" x14ac:dyDescent="0.25">
      <c r="A2895" s="2" t="s">
        <v>1836</v>
      </c>
      <c r="B2895" s="2" t="s">
        <v>9267</v>
      </c>
      <c r="C2895" s="2" t="s">
        <v>9268</v>
      </c>
      <c r="D2895" s="2" t="s">
        <v>9266</v>
      </c>
      <c r="E2895" s="2" t="s">
        <v>136</v>
      </c>
      <c r="F2895" s="3">
        <v>42644</v>
      </c>
      <c r="G2895" s="2" t="str">
        <f>"9781609384463"</f>
        <v>9781609384463</v>
      </c>
      <c r="H2895" s="2" t="s">
        <v>14</v>
      </c>
      <c r="I2895" s="4">
        <v>43192.723611111112</v>
      </c>
      <c r="J2895" s="2" t="s">
        <v>9269</v>
      </c>
    </row>
    <row r="2896" spans="1:10" ht="135" x14ac:dyDescent="0.25">
      <c r="A2896" s="2" t="s">
        <v>1836</v>
      </c>
      <c r="B2896" s="2">
        <v>70.509200000000007</v>
      </c>
      <c r="C2896" s="2" t="s">
        <v>6774</v>
      </c>
      <c r="D2896" s="2" t="s">
        <v>6772</v>
      </c>
      <c r="E2896" s="2" t="s">
        <v>6773</v>
      </c>
      <c r="F2896" s="3">
        <v>43132</v>
      </c>
      <c r="G2896" s="2" t="str">
        <f>"9781496202925"</f>
        <v>9781496202925</v>
      </c>
      <c r="H2896" s="2" t="s">
        <v>14</v>
      </c>
      <c r="I2896" s="4">
        <v>43488.426388888889</v>
      </c>
      <c r="J2896" s="2" t="s">
        <v>6775</v>
      </c>
    </row>
    <row r="2897" spans="1:10" ht="135" x14ac:dyDescent="0.25">
      <c r="A2897" s="2" t="s">
        <v>1836</v>
      </c>
      <c r="B2897" s="2">
        <v>70.509730000000005</v>
      </c>
      <c r="C2897" s="2" t="s">
        <v>1837</v>
      </c>
      <c r="D2897" s="2" t="s">
        <v>1835</v>
      </c>
      <c r="E2897" s="2" t="s">
        <v>705</v>
      </c>
      <c r="F2897" s="3">
        <v>42906</v>
      </c>
      <c r="G2897" s="2" t="str">
        <f>"9781400885275"</f>
        <v>9781400885275</v>
      </c>
      <c r="H2897" s="2" t="s">
        <v>14</v>
      </c>
      <c r="I2897" s="4">
        <v>43924.661111111112</v>
      </c>
      <c r="J2897" s="2" t="s">
        <v>1838</v>
      </c>
    </row>
    <row r="2898" spans="1:10" ht="195" x14ac:dyDescent="0.25">
      <c r="A2898" s="2" t="s">
        <v>12722</v>
      </c>
      <c r="B2898" s="2" t="s">
        <v>12723</v>
      </c>
      <c r="C2898" s="2" t="s">
        <v>12724</v>
      </c>
      <c r="D2898" s="2" t="s">
        <v>12721</v>
      </c>
      <c r="E2898" s="2" t="s">
        <v>156</v>
      </c>
      <c r="F2898" s="3">
        <v>40374</v>
      </c>
      <c r="G2898" s="2" t="str">
        <f>"9781469627199"</f>
        <v>9781469627199</v>
      </c>
      <c r="H2898" s="2" t="s">
        <v>14</v>
      </c>
      <c r="I2898" s="4">
        <v>42779.797222222223</v>
      </c>
      <c r="J2898" s="2" t="s">
        <v>12725</v>
      </c>
    </row>
    <row r="2899" spans="1:10" ht="135" x14ac:dyDescent="0.25">
      <c r="A2899" s="2" t="s">
        <v>12</v>
      </c>
      <c r="B2899" s="2" t="s">
        <v>354</v>
      </c>
      <c r="C2899" s="2" t="s">
        <v>355</v>
      </c>
      <c r="D2899" s="2" t="s">
        <v>353</v>
      </c>
      <c r="E2899" s="2" t="s">
        <v>11</v>
      </c>
      <c r="F2899" s="3">
        <v>42480</v>
      </c>
      <c r="G2899" s="2" t="str">
        <f>"9780813228525"</f>
        <v>9780813228525</v>
      </c>
      <c r="H2899" s="2" t="s">
        <v>14</v>
      </c>
      <c r="I2899" s="4">
        <v>44035.786111111112</v>
      </c>
      <c r="J2899" s="2" t="s">
        <v>356</v>
      </c>
    </row>
    <row r="2900" spans="1:10" ht="165" x14ac:dyDescent="0.25">
      <c r="A2900" s="2" t="s">
        <v>12</v>
      </c>
      <c r="B2900" s="2">
        <v>291</v>
      </c>
      <c r="C2900" s="2" t="s">
        <v>6854</v>
      </c>
      <c r="D2900" s="2" t="s">
        <v>6853</v>
      </c>
      <c r="E2900" s="2" t="s">
        <v>328</v>
      </c>
      <c r="F2900" s="3">
        <v>41304</v>
      </c>
      <c r="G2900" s="2" t="str">
        <f>"9780739178713"</f>
        <v>9780739178713</v>
      </c>
      <c r="H2900" s="2" t="s">
        <v>14</v>
      </c>
      <c r="I2900" s="4">
        <v>43482.436805555553</v>
      </c>
      <c r="J2900" s="2" t="s">
        <v>6855</v>
      </c>
    </row>
    <row r="2901" spans="1:10" ht="165" x14ac:dyDescent="0.25">
      <c r="A2901" s="2" t="s">
        <v>12</v>
      </c>
      <c r="B2901" s="2">
        <v>204.4</v>
      </c>
      <c r="C2901" s="2" t="s">
        <v>5178</v>
      </c>
      <c r="D2901" s="2" t="s">
        <v>5177</v>
      </c>
      <c r="E2901" s="2" t="s">
        <v>156</v>
      </c>
      <c r="F2901" s="3">
        <v>43038</v>
      </c>
      <c r="G2901" s="2" t="str">
        <f>"9781469633749"</f>
        <v>9781469633749</v>
      </c>
      <c r="H2901" s="2" t="s">
        <v>14</v>
      </c>
      <c r="I2901" s="4">
        <v>43608.934027777781</v>
      </c>
      <c r="J2901" s="2" t="s">
        <v>5179</v>
      </c>
    </row>
    <row r="2902" spans="1:10" ht="135" x14ac:dyDescent="0.25">
      <c r="A2902" s="2" t="s">
        <v>12</v>
      </c>
      <c r="B2902" s="2">
        <v>297.80419999999998</v>
      </c>
      <c r="C2902" s="2" t="s">
        <v>7988</v>
      </c>
      <c r="D2902" s="2" t="s">
        <v>7987</v>
      </c>
      <c r="E2902" s="2" t="s">
        <v>499</v>
      </c>
      <c r="F2902" s="3">
        <v>43192</v>
      </c>
      <c r="G2902" s="2" t="str">
        <f>"9781626165885"</f>
        <v>9781626165885</v>
      </c>
      <c r="H2902" s="2" t="s">
        <v>14</v>
      </c>
      <c r="I2902" s="4">
        <v>43368.501388888886</v>
      </c>
      <c r="J2902" s="2" t="s">
        <v>7989</v>
      </c>
    </row>
    <row r="2903" spans="1:10" ht="135" x14ac:dyDescent="0.25">
      <c r="A2903" s="2" t="s">
        <v>12</v>
      </c>
      <c r="B2903" s="2">
        <v>297.08199999999999</v>
      </c>
      <c r="D2903" s="2" t="s">
        <v>382</v>
      </c>
      <c r="E2903" s="2" t="s">
        <v>77</v>
      </c>
      <c r="F2903" s="3">
        <v>43900</v>
      </c>
      <c r="G2903" s="2" t="str">
        <f>"9781786076328"</f>
        <v>9781786076328</v>
      </c>
      <c r="H2903" s="2" t="s">
        <v>14</v>
      </c>
      <c r="I2903" s="4">
        <v>44029.546527777777</v>
      </c>
      <c r="J2903" s="2" t="s">
        <v>383</v>
      </c>
    </row>
    <row r="2904" spans="1:10" ht="135" x14ac:dyDescent="0.25">
      <c r="A2904" s="2" t="s">
        <v>12</v>
      </c>
      <c r="B2904" s="2">
        <v>211.09</v>
      </c>
      <c r="C2904" s="2" t="s">
        <v>11033</v>
      </c>
      <c r="D2904" s="2" t="s">
        <v>11032</v>
      </c>
      <c r="E2904" s="2" t="s">
        <v>216</v>
      </c>
      <c r="F2904" s="3">
        <v>42401</v>
      </c>
      <c r="G2904" s="2" t="str">
        <f>"9781438459387"</f>
        <v>9781438459387</v>
      </c>
      <c r="H2904" s="2" t="s">
        <v>14</v>
      </c>
      <c r="I2904" s="4">
        <v>43021.458333333336</v>
      </c>
      <c r="J2904" s="2" t="s">
        <v>11034</v>
      </c>
    </row>
    <row r="2905" spans="1:10" ht="150" x14ac:dyDescent="0.25">
      <c r="A2905" s="2" t="s">
        <v>12</v>
      </c>
      <c r="B2905" s="2" t="s">
        <v>8348</v>
      </c>
      <c r="C2905" s="2" t="s">
        <v>8349</v>
      </c>
      <c r="D2905" s="2" t="s">
        <v>8347</v>
      </c>
      <c r="E2905" s="2" t="s">
        <v>89</v>
      </c>
      <c r="F2905" s="3">
        <v>41760</v>
      </c>
      <c r="G2905" s="2" t="str">
        <f>"9781782382737"</f>
        <v>9781782382737</v>
      </c>
      <c r="H2905" s="2" t="s">
        <v>14</v>
      </c>
      <c r="I2905" s="4">
        <v>43318.400694444441</v>
      </c>
      <c r="J2905" s="2" t="s">
        <v>8350</v>
      </c>
    </row>
    <row r="2906" spans="1:10" ht="135" x14ac:dyDescent="0.25">
      <c r="A2906" s="2" t="s">
        <v>12</v>
      </c>
      <c r="B2906" s="2">
        <v>262.13600000000002</v>
      </c>
      <c r="C2906" s="2" t="s">
        <v>7221</v>
      </c>
      <c r="D2906" s="2" t="s">
        <v>7220</v>
      </c>
      <c r="E2906" s="2" t="s">
        <v>11</v>
      </c>
      <c r="F2906" s="3">
        <v>39834</v>
      </c>
      <c r="G2906" s="2" t="str">
        <f>"9780813217154"</f>
        <v>9780813217154</v>
      </c>
      <c r="H2906" s="2" t="s">
        <v>14</v>
      </c>
      <c r="I2906" s="4">
        <v>43433.518055555556</v>
      </c>
      <c r="J2906" s="2" t="s">
        <v>7222</v>
      </c>
    </row>
    <row r="2907" spans="1:10" ht="135" x14ac:dyDescent="0.25">
      <c r="A2907" s="2" t="s">
        <v>12</v>
      </c>
      <c r="B2907" s="2" t="s">
        <v>6169</v>
      </c>
      <c r="C2907" s="2" t="s">
        <v>6170</v>
      </c>
      <c r="D2907" s="2" t="s">
        <v>6168</v>
      </c>
      <c r="E2907" s="2" t="s">
        <v>557</v>
      </c>
      <c r="F2907" s="3">
        <v>42193</v>
      </c>
      <c r="G2907" s="2" t="str">
        <f>"9781467443777"</f>
        <v>9781467443777</v>
      </c>
      <c r="H2907" s="2" t="s">
        <v>14</v>
      </c>
      <c r="I2907" s="4">
        <v>43535.491666666669</v>
      </c>
      <c r="J2907" s="2" t="s">
        <v>6171</v>
      </c>
    </row>
    <row r="2908" spans="1:10" ht="135" x14ac:dyDescent="0.25">
      <c r="A2908" s="2" t="s">
        <v>12</v>
      </c>
      <c r="B2908" s="2">
        <v>222.70599999999999</v>
      </c>
      <c r="C2908" s="2" t="s">
        <v>6782</v>
      </c>
      <c r="D2908" s="2" t="s">
        <v>6781</v>
      </c>
      <c r="E2908" s="2" t="s">
        <v>2089</v>
      </c>
      <c r="F2908" s="3">
        <v>41183</v>
      </c>
      <c r="G2908" s="2" t="str">
        <f>"9781575066875"</f>
        <v>9781575066875</v>
      </c>
      <c r="H2908" s="2" t="s">
        <v>14</v>
      </c>
      <c r="I2908" s="4">
        <v>43486.839583333334</v>
      </c>
      <c r="J2908" s="2" t="s">
        <v>6783</v>
      </c>
    </row>
    <row r="2909" spans="1:10" ht="135" x14ac:dyDescent="0.25">
      <c r="A2909" s="2" t="s">
        <v>12</v>
      </c>
      <c r="B2909" s="2">
        <v>270</v>
      </c>
      <c r="C2909" s="2" t="s">
        <v>8935</v>
      </c>
      <c r="D2909" s="2" t="s">
        <v>8934</v>
      </c>
      <c r="E2909" s="2" t="s">
        <v>97</v>
      </c>
      <c r="F2909" s="3">
        <v>42444</v>
      </c>
      <c r="G2909" s="2" t="str">
        <f>"9780231527439"</f>
        <v>9780231527439</v>
      </c>
      <c r="H2909" s="2" t="s">
        <v>14</v>
      </c>
      <c r="I2909" s="4">
        <v>43237.672222222223</v>
      </c>
      <c r="J2909" s="2" t="s">
        <v>8936</v>
      </c>
    </row>
    <row r="2910" spans="1:10" ht="135" x14ac:dyDescent="0.25">
      <c r="A2910" s="2" t="s">
        <v>12</v>
      </c>
      <c r="B2910" s="2">
        <v>230.14091999999999</v>
      </c>
      <c r="C2910" s="2" t="s">
        <v>998</v>
      </c>
      <c r="D2910" s="2" t="s">
        <v>8842</v>
      </c>
      <c r="E2910" s="2" t="s">
        <v>11</v>
      </c>
      <c r="F2910" s="3">
        <v>43105</v>
      </c>
      <c r="G2910" s="2" t="str">
        <f>"9780813229928"</f>
        <v>9780813229928</v>
      </c>
      <c r="H2910" s="2" t="s">
        <v>14</v>
      </c>
      <c r="I2910" s="4">
        <v>43248.470833333333</v>
      </c>
      <c r="J2910" s="2" t="s">
        <v>8843</v>
      </c>
    </row>
    <row r="2911" spans="1:10" ht="135" x14ac:dyDescent="0.25">
      <c r="A2911" s="2" t="s">
        <v>12</v>
      </c>
      <c r="B2911" s="2">
        <v>220.09200000000001</v>
      </c>
      <c r="C2911" s="2" t="s">
        <v>1670</v>
      </c>
      <c r="D2911" s="2" t="s">
        <v>3707</v>
      </c>
      <c r="E2911" s="2" t="s">
        <v>11</v>
      </c>
      <c r="F2911" s="3">
        <v>43435</v>
      </c>
      <c r="G2911" s="2" t="str">
        <f>"9780813231440"</f>
        <v>9780813231440</v>
      </c>
      <c r="H2911" s="2" t="s">
        <v>14</v>
      </c>
      <c r="I2911" s="4">
        <v>43763.543749999997</v>
      </c>
      <c r="J2911" s="2" t="s">
        <v>3708</v>
      </c>
    </row>
    <row r="2912" spans="1:10" ht="165" x14ac:dyDescent="0.25">
      <c r="A2912" s="2" t="s">
        <v>12</v>
      </c>
      <c r="B2912" s="2" t="s">
        <v>8478</v>
      </c>
      <c r="C2912" s="2" t="s">
        <v>8479</v>
      </c>
      <c r="D2912" s="2" t="s">
        <v>8477</v>
      </c>
      <c r="E2912" s="2" t="s">
        <v>2089</v>
      </c>
      <c r="F2912" s="3">
        <v>41275</v>
      </c>
      <c r="G2912" s="2" t="str">
        <f>"9781575068688"</f>
        <v>9781575068688</v>
      </c>
      <c r="H2912" s="2" t="s">
        <v>14</v>
      </c>
      <c r="I2912" s="4">
        <v>43301.609027777777</v>
      </c>
      <c r="J2912" s="2" t="s">
        <v>8480</v>
      </c>
    </row>
    <row r="2913" spans="1:10" ht="150" x14ac:dyDescent="0.25">
      <c r="A2913" s="2" t="s">
        <v>12</v>
      </c>
      <c r="B2913" s="2" t="s">
        <v>5972</v>
      </c>
      <c r="C2913" s="2" t="s">
        <v>5973</v>
      </c>
      <c r="D2913" s="2" t="s">
        <v>5971</v>
      </c>
      <c r="E2913" s="2" t="s">
        <v>526</v>
      </c>
      <c r="F2913" s="3">
        <v>41593</v>
      </c>
      <c r="G2913" s="2" t="str">
        <f>"9780292748545"</f>
        <v>9780292748545</v>
      </c>
      <c r="H2913" s="2" t="s">
        <v>14</v>
      </c>
      <c r="I2913" s="4">
        <v>43552.599305555559</v>
      </c>
      <c r="J2913" s="2" t="s">
        <v>5974</v>
      </c>
    </row>
    <row r="2914" spans="1:10" ht="135" x14ac:dyDescent="0.25">
      <c r="A2914" s="2" t="s">
        <v>12</v>
      </c>
      <c r="B2914" s="2" t="s">
        <v>1914</v>
      </c>
      <c r="C2914" s="2" t="s">
        <v>998</v>
      </c>
      <c r="D2914" s="2" t="s">
        <v>1913</v>
      </c>
      <c r="E2914" s="2" t="s">
        <v>370</v>
      </c>
      <c r="F2914" s="3">
        <v>43028</v>
      </c>
      <c r="G2914" s="2" t="str">
        <f>"9780884142584"</f>
        <v>9780884142584</v>
      </c>
      <c r="H2914" s="2" t="s">
        <v>14</v>
      </c>
      <c r="I2914" s="4">
        <v>43921.697222222225</v>
      </c>
      <c r="J2914" s="2" t="s">
        <v>1915</v>
      </c>
    </row>
    <row r="2915" spans="1:10" ht="135" x14ac:dyDescent="0.25">
      <c r="A2915" s="2" t="s">
        <v>12</v>
      </c>
      <c r="B2915" s="2">
        <v>261.70972999999998</v>
      </c>
      <c r="C2915" s="2" t="s">
        <v>10670</v>
      </c>
      <c r="D2915" s="2" t="s">
        <v>10669</v>
      </c>
      <c r="E2915" s="2" t="s">
        <v>3829</v>
      </c>
      <c r="F2915" s="3">
        <v>42330</v>
      </c>
      <c r="G2915" s="2" t="str">
        <f>"9780830899296"</f>
        <v>9780830899296</v>
      </c>
      <c r="H2915" s="2" t="s">
        <v>14</v>
      </c>
      <c r="I2915" s="4">
        <v>43043.5</v>
      </c>
      <c r="J2915" s="2" t="s">
        <v>10671</v>
      </c>
    </row>
    <row r="2916" spans="1:10" ht="135" x14ac:dyDescent="0.25">
      <c r="A2916" s="2" t="s">
        <v>12</v>
      </c>
      <c r="B2916" s="2" t="s">
        <v>2922</v>
      </c>
      <c r="C2916" s="2" t="s">
        <v>2923</v>
      </c>
      <c r="D2916" s="2" t="s">
        <v>2921</v>
      </c>
      <c r="E2916" s="2" t="s">
        <v>260</v>
      </c>
      <c r="F2916" s="3">
        <v>42167</v>
      </c>
      <c r="G2916" s="2" t="str">
        <f>"9781439910986"</f>
        <v>9781439910986</v>
      </c>
      <c r="H2916" s="2" t="s">
        <v>14</v>
      </c>
      <c r="I2916" s="4">
        <v>43843.665277777778</v>
      </c>
      <c r="J2916" s="2" t="s">
        <v>2924</v>
      </c>
    </row>
    <row r="2917" spans="1:10" ht="135" x14ac:dyDescent="0.25">
      <c r="A2917" s="2" t="s">
        <v>12</v>
      </c>
      <c r="B2917" s="2" t="s">
        <v>12485</v>
      </c>
      <c r="C2917" s="2" t="s">
        <v>12486</v>
      </c>
      <c r="D2917" s="2" t="s">
        <v>12484</v>
      </c>
      <c r="E2917" s="2" t="s">
        <v>180</v>
      </c>
      <c r="F2917" s="3">
        <v>42272</v>
      </c>
      <c r="G2917" s="2" t="str">
        <f>"9781479833726"</f>
        <v>9781479833726</v>
      </c>
      <c r="H2917" s="2" t="s">
        <v>14</v>
      </c>
      <c r="I2917" s="4">
        <v>42802.529166666667</v>
      </c>
      <c r="J2917" s="2" t="s">
        <v>12487</v>
      </c>
    </row>
    <row r="2918" spans="1:10" ht="135" x14ac:dyDescent="0.25">
      <c r="A2918" s="2" t="s">
        <v>12</v>
      </c>
      <c r="B2918" s="2">
        <v>282.09199999999998</v>
      </c>
      <c r="C2918" s="2" t="s">
        <v>1670</v>
      </c>
      <c r="D2918" s="2" t="s">
        <v>5463</v>
      </c>
      <c r="E2918" s="2" t="s">
        <v>11</v>
      </c>
      <c r="F2918" s="3">
        <v>43556</v>
      </c>
      <c r="G2918" s="2" t="str">
        <f>"9780813231662"</f>
        <v>9780813231662</v>
      </c>
      <c r="H2918" s="2" t="s">
        <v>14</v>
      </c>
      <c r="I2918" s="4">
        <v>43596.597916666666</v>
      </c>
      <c r="J2918" s="2" t="s">
        <v>5464</v>
      </c>
    </row>
    <row r="2919" spans="1:10" ht="135" x14ac:dyDescent="0.25">
      <c r="A2919" s="2" t="s">
        <v>12</v>
      </c>
      <c r="B2919" s="2">
        <v>262.52</v>
      </c>
      <c r="C2919" s="2" t="s">
        <v>11380</v>
      </c>
      <c r="D2919" s="2" t="s">
        <v>11379</v>
      </c>
      <c r="E2919" s="2" t="s">
        <v>11</v>
      </c>
      <c r="F2919" s="3">
        <v>42979</v>
      </c>
      <c r="G2919" s="2" t="str">
        <f>"9780813229317"</f>
        <v>9780813229317</v>
      </c>
      <c r="H2919" s="2" t="s">
        <v>14</v>
      </c>
      <c r="I2919" s="4">
        <v>42979.6</v>
      </c>
      <c r="J2919" s="2" t="s">
        <v>11381</v>
      </c>
    </row>
    <row r="2920" spans="1:10" ht="135" x14ac:dyDescent="0.25">
      <c r="A2920" s="2" t="s">
        <v>12</v>
      </c>
      <c r="B2920" s="2" t="s">
        <v>11681</v>
      </c>
      <c r="C2920" s="2" t="s">
        <v>11682</v>
      </c>
      <c r="D2920" s="2" t="s">
        <v>11680</v>
      </c>
      <c r="E2920" s="2" t="s">
        <v>3829</v>
      </c>
      <c r="F2920" s="3">
        <v>42347</v>
      </c>
      <c r="G2920" s="2" t="str">
        <f>"9780830899302"</f>
        <v>9780830899302</v>
      </c>
      <c r="H2920" s="2" t="s">
        <v>14</v>
      </c>
      <c r="I2920" s="4">
        <v>42913.347916666666</v>
      </c>
      <c r="J2920" s="2" t="s">
        <v>11683</v>
      </c>
    </row>
    <row r="2921" spans="1:10" ht="135" x14ac:dyDescent="0.25">
      <c r="A2921" s="2" t="s">
        <v>12</v>
      </c>
      <c r="B2921" s="2">
        <v>230</v>
      </c>
      <c r="C2921" s="2" t="s">
        <v>4589</v>
      </c>
      <c r="D2921" s="2" t="s">
        <v>12421</v>
      </c>
      <c r="E2921" s="2" t="s">
        <v>11</v>
      </c>
      <c r="F2921" s="3">
        <v>42543</v>
      </c>
      <c r="G2921" s="2" t="str">
        <f>"9780813228563"</f>
        <v>9780813228563</v>
      </c>
      <c r="H2921" s="2" t="s">
        <v>14</v>
      </c>
      <c r="I2921" s="4">
        <v>42807.615972222222</v>
      </c>
      <c r="J2921" s="2" t="s">
        <v>12422</v>
      </c>
    </row>
    <row r="2922" spans="1:10" ht="135" x14ac:dyDescent="0.25">
      <c r="A2922" s="2" t="s">
        <v>12</v>
      </c>
      <c r="B2922" s="2">
        <v>230.14</v>
      </c>
      <c r="C2922" s="2" t="s">
        <v>13038</v>
      </c>
      <c r="D2922" s="2" t="s">
        <v>13037</v>
      </c>
      <c r="E2922" s="2" t="s">
        <v>11</v>
      </c>
      <c r="F2922" s="3">
        <v>42342</v>
      </c>
      <c r="G2922" s="2" t="str">
        <f>"9780813228082"</f>
        <v>9780813228082</v>
      </c>
      <c r="H2922" s="2" t="s">
        <v>14</v>
      </c>
      <c r="I2922" s="4">
        <v>42746.084027777775</v>
      </c>
      <c r="J2922" s="2" t="s">
        <v>13039</v>
      </c>
    </row>
    <row r="2923" spans="1:10" ht="135" x14ac:dyDescent="0.25">
      <c r="A2923" s="2" t="s">
        <v>12</v>
      </c>
      <c r="B2923" s="2">
        <v>233.5</v>
      </c>
      <c r="C2923" s="2" t="s">
        <v>4589</v>
      </c>
      <c r="D2923" s="2" t="s">
        <v>11688</v>
      </c>
      <c r="E2923" s="2" t="s">
        <v>11</v>
      </c>
      <c r="F2923" s="3">
        <v>42461</v>
      </c>
      <c r="G2923" s="2" t="str">
        <f>"9780813228488"</f>
        <v>9780813228488</v>
      </c>
      <c r="H2923" s="2" t="s">
        <v>14</v>
      </c>
      <c r="I2923" s="4">
        <v>42912.592361111114</v>
      </c>
      <c r="J2923" s="2" t="s">
        <v>11689</v>
      </c>
    </row>
    <row r="2924" spans="1:10" ht="135" x14ac:dyDescent="0.25">
      <c r="A2924" s="2" t="s">
        <v>12</v>
      </c>
      <c r="D2924" s="2" t="s">
        <v>3465</v>
      </c>
      <c r="E2924" s="2" t="s">
        <v>11</v>
      </c>
      <c r="F2924" s="3">
        <v>43159</v>
      </c>
      <c r="G2924" s="2" t="str">
        <f>"9780813231150"</f>
        <v>9780813231150</v>
      </c>
      <c r="H2924" s="2" t="s">
        <v>14</v>
      </c>
      <c r="I2924" s="4">
        <v>43780.914583333331</v>
      </c>
      <c r="J2924" s="2" t="s">
        <v>3466</v>
      </c>
    </row>
    <row r="2925" spans="1:10" ht="135" x14ac:dyDescent="0.25">
      <c r="A2925" s="2" t="s">
        <v>12</v>
      </c>
      <c r="B2925" s="2">
        <v>270.2</v>
      </c>
      <c r="C2925" s="2" t="s">
        <v>998</v>
      </c>
      <c r="D2925" s="2" t="s">
        <v>2219</v>
      </c>
      <c r="E2925" s="2" t="s">
        <v>11</v>
      </c>
      <c r="F2925" s="3">
        <v>40378</v>
      </c>
      <c r="G2925" s="2" t="str">
        <f>"9780813218045"</f>
        <v>9780813218045</v>
      </c>
      <c r="H2925" s="2" t="s">
        <v>14</v>
      </c>
      <c r="I2925" s="4">
        <v>43900.645833333336</v>
      </c>
      <c r="J2925" s="2" t="s">
        <v>2220</v>
      </c>
    </row>
    <row r="2926" spans="1:10" ht="135" x14ac:dyDescent="0.25">
      <c r="A2926" s="2" t="s">
        <v>12</v>
      </c>
      <c r="B2926" s="2">
        <v>294.55119999999999</v>
      </c>
      <c r="C2926" s="2" t="s">
        <v>688</v>
      </c>
      <c r="D2926" s="2" t="s">
        <v>687</v>
      </c>
      <c r="E2926" s="2" t="s">
        <v>89</v>
      </c>
      <c r="F2926" s="3">
        <v>43773</v>
      </c>
      <c r="G2926" s="2" t="str">
        <f>"9781789206104"</f>
        <v>9781789206104</v>
      </c>
      <c r="H2926" s="2" t="s">
        <v>14</v>
      </c>
      <c r="I2926" s="4">
        <v>43999.367361111108</v>
      </c>
      <c r="J2926" s="2" t="s">
        <v>689</v>
      </c>
    </row>
    <row r="2927" spans="1:10" ht="135" x14ac:dyDescent="0.25">
      <c r="A2927" s="2" t="s">
        <v>12</v>
      </c>
      <c r="B2927" s="2" t="s">
        <v>1669</v>
      </c>
      <c r="C2927" s="2" t="s">
        <v>1670</v>
      </c>
      <c r="D2927" s="2" t="s">
        <v>5795</v>
      </c>
      <c r="E2927" s="2" t="s">
        <v>11</v>
      </c>
      <c r="F2927" s="3">
        <v>43344</v>
      </c>
      <c r="G2927" s="2" t="str">
        <f>"9780813231488"</f>
        <v>9780813231488</v>
      </c>
      <c r="H2927" s="2" t="s">
        <v>14</v>
      </c>
      <c r="I2927" s="4">
        <v>43570.447222222225</v>
      </c>
      <c r="J2927" s="2" t="s">
        <v>5796</v>
      </c>
    </row>
    <row r="2928" spans="1:10" ht="135" x14ac:dyDescent="0.25">
      <c r="A2928" s="2" t="s">
        <v>12</v>
      </c>
      <c r="B2928" s="2" t="s">
        <v>4964</v>
      </c>
      <c r="C2928" s="2" t="s">
        <v>4965</v>
      </c>
      <c r="D2928" s="2" t="s">
        <v>4963</v>
      </c>
      <c r="E2928" s="2" t="s">
        <v>526</v>
      </c>
      <c r="F2928" s="3">
        <v>43481</v>
      </c>
      <c r="G2928" s="2" t="str">
        <f>"9781477315897"</f>
        <v>9781477315897</v>
      </c>
      <c r="H2928" s="2" t="s">
        <v>14</v>
      </c>
      <c r="I2928" s="4">
        <v>43614.869444444441</v>
      </c>
      <c r="J2928" s="2" t="s">
        <v>4966</v>
      </c>
    </row>
    <row r="2929" spans="1:10" ht="135" x14ac:dyDescent="0.25">
      <c r="A2929" s="2" t="s">
        <v>12</v>
      </c>
      <c r="B2929" s="2">
        <v>226.00710000000001</v>
      </c>
      <c r="C2929" s="2" t="s">
        <v>1450</v>
      </c>
      <c r="D2929" s="2" t="s">
        <v>1449</v>
      </c>
      <c r="E2929" s="2" t="s">
        <v>370</v>
      </c>
      <c r="F2929" s="3">
        <v>43665</v>
      </c>
      <c r="G2929" s="2" t="str">
        <f>"9780884144144"</f>
        <v>9780884144144</v>
      </c>
      <c r="H2929" s="2" t="s">
        <v>14</v>
      </c>
      <c r="I2929" s="4">
        <v>43942.792361111111</v>
      </c>
      <c r="J2929" s="2" t="s">
        <v>1451</v>
      </c>
    </row>
    <row r="2930" spans="1:10" ht="150" x14ac:dyDescent="0.25">
      <c r="A2930" s="2" t="s">
        <v>12</v>
      </c>
      <c r="B2930" s="2">
        <v>282.09199999999998</v>
      </c>
      <c r="C2930" s="2" t="s">
        <v>9312</v>
      </c>
      <c r="D2930" s="2" t="s">
        <v>9311</v>
      </c>
      <c r="E2930" s="2" t="s">
        <v>390</v>
      </c>
      <c r="F2930" s="3">
        <v>42855</v>
      </c>
      <c r="G2930" s="2" t="str">
        <f>"9780268100117"</f>
        <v>9780268100117</v>
      </c>
      <c r="H2930" s="2" t="s">
        <v>14</v>
      </c>
      <c r="I2930" s="4">
        <v>43186.572222222225</v>
      </c>
      <c r="J2930" s="2" t="s">
        <v>9313</v>
      </c>
    </row>
    <row r="2931" spans="1:10" ht="135" x14ac:dyDescent="0.25">
      <c r="A2931" s="2" t="s">
        <v>12</v>
      </c>
      <c r="B2931" s="2">
        <v>297.20420000000001</v>
      </c>
      <c r="C2931" s="2" t="s">
        <v>9642</v>
      </c>
      <c r="D2931" s="2" t="s">
        <v>9641</v>
      </c>
      <c r="E2931" s="2" t="s">
        <v>8867</v>
      </c>
      <c r="F2931" s="3">
        <v>42663</v>
      </c>
      <c r="G2931" s="2" t="str">
        <f>"9781611176797"</f>
        <v>9781611176797</v>
      </c>
      <c r="H2931" s="2" t="s">
        <v>14</v>
      </c>
      <c r="I2931" s="4">
        <v>43142.717361111114</v>
      </c>
      <c r="J2931" s="2" t="s">
        <v>9643</v>
      </c>
    </row>
    <row r="2932" spans="1:10" ht="135" x14ac:dyDescent="0.25">
      <c r="A2932" s="2" t="s">
        <v>12</v>
      </c>
      <c r="B2932" s="2">
        <v>231</v>
      </c>
      <c r="C2932" s="2" t="s">
        <v>7141</v>
      </c>
      <c r="D2932" s="2" t="s">
        <v>7140</v>
      </c>
      <c r="E2932" s="2" t="s">
        <v>3829</v>
      </c>
      <c r="F2932" s="3">
        <v>42675</v>
      </c>
      <c r="G2932" s="2" t="str">
        <f>"9780830873142"</f>
        <v>9780830873142</v>
      </c>
      <c r="H2932" s="2" t="s">
        <v>14</v>
      </c>
      <c r="I2932" s="4">
        <v>43440.604166666664</v>
      </c>
      <c r="J2932" s="2" t="s">
        <v>7142</v>
      </c>
    </row>
    <row r="2933" spans="1:10" ht="135" x14ac:dyDescent="0.25">
      <c r="A2933" s="2" t="s">
        <v>12</v>
      </c>
      <c r="B2933" s="2">
        <v>211.408996073</v>
      </c>
      <c r="C2933" s="2" t="s">
        <v>2063</v>
      </c>
      <c r="D2933" s="2" t="s">
        <v>2062</v>
      </c>
      <c r="E2933" s="2" t="s">
        <v>101</v>
      </c>
      <c r="F2933" s="3">
        <v>43723</v>
      </c>
      <c r="G2933" s="2" t="str">
        <f>"9780810140806"</f>
        <v>9780810140806</v>
      </c>
      <c r="H2933" s="2" t="s">
        <v>14</v>
      </c>
      <c r="I2933" s="4">
        <v>43915.682638888888</v>
      </c>
      <c r="J2933" s="2" t="s">
        <v>2064</v>
      </c>
    </row>
    <row r="2934" spans="1:10" ht="135" x14ac:dyDescent="0.25">
      <c r="A2934" s="2" t="s">
        <v>12</v>
      </c>
      <c r="B2934" s="2" t="s">
        <v>8496</v>
      </c>
      <c r="C2934" s="2" t="s">
        <v>8497</v>
      </c>
      <c r="D2934" s="2" t="s">
        <v>8495</v>
      </c>
      <c r="E2934" s="2" t="s">
        <v>310</v>
      </c>
      <c r="F2934" s="3">
        <v>43004</v>
      </c>
      <c r="G2934" s="2" t="str">
        <f>"9780815654100"</f>
        <v>9780815654100</v>
      </c>
      <c r="H2934" s="2" t="s">
        <v>14</v>
      </c>
      <c r="I2934" s="4">
        <v>43300.532638888886</v>
      </c>
      <c r="J2934" s="2" t="s">
        <v>8498</v>
      </c>
    </row>
    <row r="2935" spans="1:10" ht="135" x14ac:dyDescent="0.25">
      <c r="A2935" s="2" t="s">
        <v>12</v>
      </c>
      <c r="B2935" s="2" t="s">
        <v>11756</v>
      </c>
      <c r="C2935" s="2" t="s">
        <v>11757</v>
      </c>
      <c r="D2935" s="2" t="s">
        <v>11755</v>
      </c>
      <c r="E2935" s="2" t="s">
        <v>11</v>
      </c>
      <c r="F2935" s="3">
        <v>42675</v>
      </c>
      <c r="G2935" s="2" t="str">
        <f>"9780813229232"</f>
        <v>9780813229232</v>
      </c>
      <c r="H2935" s="2" t="s">
        <v>14</v>
      </c>
      <c r="I2935" s="4">
        <v>42900.31527777778</v>
      </c>
      <c r="J2935" s="2" t="s">
        <v>11758</v>
      </c>
    </row>
    <row r="2936" spans="1:10" ht="135" x14ac:dyDescent="0.25">
      <c r="A2936" s="2" t="s">
        <v>12</v>
      </c>
      <c r="B2936" s="2">
        <v>208</v>
      </c>
      <c r="C2936" s="2" t="s">
        <v>1937</v>
      </c>
      <c r="D2936" s="2" t="s">
        <v>1936</v>
      </c>
      <c r="E2936" s="2" t="s">
        <v>370</v>
      </c>
      <c r="F2936" s="3">
        <v>43329</v>
      </c>
      <c r="G2936" s="2" t="str">
        <f>"9780884143314"</f>
        <v>9780884143314</v>
      </c>
      <c r="H2936" s="2" t="s">
        <v>14</v>
      </c>
      <c r="I2936" s="4">
        <v>43920.649305555555</v>
      </c>
      <c r="J2936" s="2" t="s">
        <v>1938</v>
      </c>
    </row>
    <row r="2937" spans="1:10" ht="135" x14ac:dyDescent="0.25">
      <c r="A2937" s="2" t="s">
        <v>12</v>
      </c>
      <c r="B2937" s="2">
        <v>230.096</v>
      </c>
      <c r="C2937" s="2" t="s">
        <v>4464</v>
      </c>
      <c r="D2937" s="2" t="s">
        <v>4463</v>
      </c>
      <c r="E2937" s="2" t="s">
        <v>557</v>
      </c>
      <c r="F2937" s="3">
        <v>42846</v>
      </c>
      <c r="G2937" s="2" t="str">
        <f>"9781467446983"</f>
        <v>9781467446983</v>
      </c>
      <c r="H2937" s="2" t="s">
        <v>14</v>
      </c>
      <c r="I2937" s="4">
        <v>43664.454861111109</v>
      </c>
      <c r="J2937" s="2" t="s">
        <v>4465</v>
      </c>
    </row>
    <row r="2938" spans="1:10" ht="135" x14ac:dyDescent="0.25">
      <c r="A2938" s="2" t="s">
        <v>12</v>
      </c>
      <c r="B2938" s="2">
        <v>230.20920000000001</v>
      </c>
      <c r="C2938" s="2" t="s">
        <v>13</v>
      </c>
      <c r="D2938" s="2" t="s">
        <v>10</v>
      </c>
      <c r="E2938" s="2" t="s">
        <v>11</v>
      </c>
      <c r="F2938" s="3">
        <v>43551</v>
      </c>
      <c r="G2938" s="2" t="str">
        <f>"9780813231822"</f>
        <v>9780813231822</v>
      </c>
      <c r="H2938" s="2" t="s">
        <v>14</v>
      </c>
      <c r="I2938" s="4">
        <v>44076.458333333336</v>
      </c>
      <c r="J2938" s="2" t="s">
        <v>15</v>
      </c>
    </row>
    <row r="2939" spans="1:10" ht="150" x14ac:dyDescent="0.25">
      <c r="A2939" s="2" t="s">
        <v>12</v>
      </c>
      <c r="B2939" s="2">
        <v>294.30973</v>
      </c>
      <c r="C2939" s="2" t="s">
        <v>5402</v>
      </c>
      <c r="D2939" s="2" t="s">
        <v>5401</v>
      </c>
      <c r="E2939" s="2" t="s">
        <v>216</v>
      </c>
      <c r="F2939" s="3">
        <v>42156</v>
      </c>
      <c r="G2939" s="2" t="str">
        <f>"9781438456386"</f>
        <v>9781438456386</v>
      </c>
      <c r="H2939" s="2" t="s">
        <v>14</v>
      </c>
      <c r="I2939" s="4">
        <v>43600.832638888889</v>
      </c>
      <c r="J2939" s="2" t="s">
        <v>5403</v>
      </c>
    </row>
    <row r="2940" spans="1:10" ht="135" x14ac:dyDescent="0.25">
      <c r="A2940" s="2" t="s">
        <v>12</v>
      </c>
      <c r="B2940" s="2">
        <v>294.30950000000001</v>
      </c>
      <c r="C2940" s="2" t="s">
        <v>1676</v>
      </c>
      <c r="D2940" s="2" t="s">
        <v>1675</v>
      </c>
      <c r="E2940" s="2" t="s">
        <v>216</v>
      </c>
      <c r="F2940" s="3">
        <v>43709</v>
      </c>
      <c r="G2940" s="2" t="str">
        <f>"9781438475868"</f>
        <v>9781438475868</v>
      </c>
      <c r="H2940" s="2" t="s">
        <v>14</v>
      </c>
      <c r="I2940" s="4">
        <v>43933.59375</v>
      </c>
      <c r="J2940" s="2" t="s">
        <v>1677</v>
      </c>
    </row>
    <row r="2941" spans="1:10" ht="135" x14ac:dyDescent="0.25">
      <c r="A2941" s="2" t="s">
        <v>12</v>
      </c>
      <c r="B2941" s="2">
        <v>294.3082</v>
      </c>
      <c r="C2941" s="2" t="s">
        <v>6621</v>
      </c>
      <c r="D2941" s="2" t="s">
        <v>6620</v>
      </c>
      <c r="E2941" s="2" t="s">
        <v>216</v>
      </c>
      <c r="F2941" s="3">
        <v>43466</v>
      </c>
      <c r="G2941" s="2" t="str">
        <f>"9781438472577"</f>
        <v>9781438472577</v>
      </c>
      <c r="H2941" s="2" t="s">
        <v>14</v>
      </c>
      <c r="I2941" s="4">
        <v>43502.526388888888</v>
      </c>
      <c r="J2941" s="2" t="s">
        <v>6622</v>
      </c>
    </row>
    <row r="2942" spans="1:10" ht="135" x14ac:dyDescent="0.25">
      <c r="A2942" s="2" t="s">
        <v>12</v>
      </c>
      <c r="B2942" s="2">
        <v>248.8</v>
      </c>
      <c r="C2942" s="2" t="s">
        <v>11656</v>
      </c>
      <c r="D2942" s="2" t="s">
        <v>11655</v>
      </c>
      <c r="E2942" s="2" t="s">
        <v>11</v>
      </c>
      <c r="F2942" s="3">
        <v>42829</v>
      </c>
      <c r="G2942" s="2" t="str">
        <f>"9780813229256"</f>
        <v>9780813229256</v>
      </c>
      <c r="H2942" s="2" t="s">
        <v>14</v>
      </c>
      <c r="I2942" s="4">
        <v>42916.652777777781</v>
      </c>
      <c r="J2942" s="2" t="s">
        <v>11657</v>
      </c>
    </row>
    <row r="2943" spans="1:10" ht="135" x14ac:dyDescent="0.25">
      <c r="A2943" s="2" t="s">
        <v>12</v>
      </c>
      <c r="B2943" s="2">
        <v>282.09199999999998</v>
      </c>
      <c r="C2943" s="2" t="s">
        <v>8439</v>
      </c>
      <c r="D2943" s="2" t="s">
        <v>8438</v>
      </c>
      <c r="E2943" s="2" t="s">
        <v>499</v>
      </c>
      <c r="F2943" s="3">
        <v>41654</v>
      </c>
      <c r="G2943" s="2" t="str">
        <f>"9781626160590"</f>
        <v>9781626160590</v>
      </c>
      <c r="H2943" s="2" t="s">
        <v>14</v>
      </c>
      <c r="I2943" s="4">
        <v>43307.602083333331</v>
      </c>
      <c r="J2943" s="2" t="s">
        <v>8440</v>
      </c>
    </row>
    <row r="2944" spans="1:10" ht="165" x14ac:dyDescent="0.25">
      <c r="A2944" s="2" t="s">
        <v>12</v>
      </c>
      <c r="B2944" s="2">
        <v>283</v>
      </c>
      <c r="C2944" s="2" t="s">
        <v>9944</v>
      </c>
      <c r="D2944" s="2" t="s">
        <v>9943</v>
      </c>
      <c r="E2944" s="2" t="s">
        <v>221</v>
      </c>
      <c r="F2944" s="3">
        <v>42005</v>
      </c>
      <c r="G2944" s="2" t="str">
        <f>"9789888313259"</f>
        <v>9789888313259</v>
      </c>
      <c r="H2944" s="2" t="s">
        <v>14</v>
      </c>
      <c r="I2944" s="4">
        <v>43117.679861111108</v>
      </c>
      <c r="J2944" s="2" t="s">
        <v>9945</v>
      </c>
    </row>
    <row r="2945" spans="1:10" ht="135" x14ac:dyDescent="0.25">
      <c r="A2945" s="2" t="s">
        <v>12</v>
      </c>
      <c r="B2945" s="2">
        <v>233.5</v>
      </c>
      <c r="C2945" s="2" t="s">
        <v>4426</v>
      </c>
      <c r="D2945" s="2" t="s">
        <v>4425</v>
      </c>
      <c r="E2945" s="2" t="s">
        <v>54</v>
      </c>
      <c r="F2945" s="3">
        <v>43368</v>
      </c>
      <c r="G2945" s="2" t="str">
        <f>"9781503606753"</f>
        <v>9781503606753</v>
      </c>
      <c r="H2945" s="2" t="s">
        <v>14</v>
      </c>
      <c r="I2945" s="4">
        <v>43670.477083333331</v>
      </c>
      <c r="J2945" s="2" t="s">
        <v>4427</v>
      </c>
    </row>
    <row r="2946" spans="1:10" ht="150" x14ac:dyDescent="0.25">
      <c r="A2946" s="2" t="s">
        <v>12</v>
      </c>
      <c r="B2946" s="2">
        <v>230</v>
      </c>
      <c r="C2946" s="2" t="s">
        <v>433</v>
      </c>
      <c r="D2946" s="2" t="s">
        <v>432</v>
      </c>
      <c r="E2946" s="2" t="s">
        <v>216</v>
      </c>
      <c r="F2946" s="3">
        <v>41913</v>
      </c>
      <c r="G2946" s="2" t="str">
        <f>"9781438454061"</f>
        <v>9781438454061</v>
      </c>
      <c r="H2946" s="2" t="s">
        <v>14</v>
      </c>
      <c r="I2946" s="4">
        <v>44024.625</v>
      </c>
      <c r="J2946" s="2" t="s">
        <v>434</v>
      </c>
    </row>
    <row r="2947" spans="1:10" ht="135" x14ac:dyDescent="0.25">
      <c r="A2947" s="2" t="s">
        <v>12</v>
      </c>
      <c r="B2947" s="2">
        <v>274.77</v>
      </c>
      <c r="C2947" s="2" t="s">
        <v>1632</v>
      </c>
      <c r="D2947" s="2" t="s">
        <v>4378</v>
      </c>
      <c r="E2947" s="2" t="s">
        <v>37</v>
      </c>
      <c r="F2947" s="3">
        <v>42779</v>
      </c>
      <c r="G2947" s="2" t="str">
        <f>"9783319341446"</f>
        <v>9783319341446</v>
      </c>
      <c r="H2947" s="2" t="s">
        <v>14</v>
      </c>
      <c r="I2947" s="4">
        <v>43676.602083333331</v>
      </c>
      <c r="J2947" s="2" t="s">
        <v>4379</v>
      </c>
    </row>
    <row r="2948" spans="1:10" ht="135" x14ac:dyDescent="0.25">
      <c r="A2948" s="2" t="s">
        <v>12</v>
      </c>
      <c r="B2948" s="2" t="s">
        <v>9521</v>
      </c>
      <c r="C2948" s="2" t="s">
        <v>9522</v>
      </c>
      <c r="D2948" s="2" t="s">
        <v>9520</v>
      </c>
      <c r="E2948" s="2" t="s">
        <v>436</v>
      </c>
      <c r="F2948" s="3">
        <v>39609</v>
      </c>
      <c r="G2948" s="2" t="str">
        <f>"9780567418128"</f>
        <v>9780567418128</v>
      </c>
      <c r="H2948" s="2" t="s">
        <v>14</v>
      </c>
      <c r="I2948" s="4">
        <v>43158.669444444444</v>
      </c>
      <c r="J2948" s="2" t="s">
        <v>9523</v>
      </c>
    </row>
    <row r="2949" spans="1:10" ht="135" x14ac:dyDescent="0.25">
      <c r="A2949" s="2" t="s">
        <v>12</v>
      </c>
      <c r="B2949" s="2" t="s">
        <v>5827</v>
      </c>
      <c r="C2949" s="2" t="s">
        <v>5828</v>
      </c>
      <c r="D2949" s="2" t="s">
        <v>5826</v>
      </c>
      <c r="E2949" s="2" t="s">
        <v>54</v>
      </c>
      <c r="F2949" s="3">
        <v>42354</v>
      </c>
      <c r="G2949" s="2" t="str">
        <f>"9780804797009"</f>
        <v>9780804797009</v>
      </c>
      <c r="H2949" s="2" t="s">
        <v>14</v>
      </c>
      <c r="I2949" s="4">
        <v>43566.791666666664</v>
      </c>
      <c r="J2949" s="2" t="s">
        <v>5829</v>
      </c>
    </row>
    <row r="2950" spans="1:10" ht="135" x14ac:dyDescent="0.25">
      <c r="A2950" s="2" t="s">
        <v>12</v>
      </c>
      <c r="B2950" s="2">
        <v>222.11070000000001</v>
      </c>
      <c r="C2950" s="2" t="s">
        <v>10597</v>
      </c>
      <c r="D2950" s="2" t="s">
        <v>10596</v>
      </c>
      <c r="E2950" s="2" t="s">
        <v>11</v>
      </c>
      <c r="F2950" s="3">
        <v>42461</v>
      </c>
      <c r="G2950" s="2" t="str">
        <f>"9780813228464"</f>
        <v>9780813228464</v>
      </c>
      <c r="H2950" s="2" t="s">
        <v>14</v>
      </c>
      <c r="I2950" s="4">
        <v>43048.011111111111</v>
      </c>
      <c r="J2950" s="2" t="s">
        <v>10598</v>
      </c>
    </row>
    <row r="2951" spans="1:10" ht="135" x14ac:dyDescent="0.25">
      <c r="A2951" s="2" t="s">
        <v>12</v>
      </c>
      <c r="B2951" s="2">
        <v>228.077</v>
      </c>
      <c r="C2951" s="2" t="s">
        <v>1962</v>
      </c>
      <c r="D2951" s="2" t="s">
        <v>11792</v>
      </c>
      <c r="E2951" s="2" t="s">
        <v>11</v>
      </c>
      <c r="F2951" s="3">
        <v>38777</v>
      </c>
      <c r="G2951" s="2" t="str">
        <f>"9780813216355"</f>
        <v>9780813216355</v>
      </c>
      <c r="H2951" s="2" t="s">
        <v>14</v>
      </c>
      <c r="I2951" s="4">
        <v>42889.82916666667</v>
      </c>
      <c r="J2951" s="2" t="s">
        <v>11793</v>
      </c>
    </row>
    <row r="2952" spans="1:10" ht="135" x14ac:dyDescent="0.25">
      <c r="A2952" s="2" t="s">
        <v>12</v>
      </c>
      <c r="B2952" s="2">
        <v>261.2</v>
      </c>
      <c r="C2952" s="2" t="s">
        <v>4056</v>
      </c>
      <c r="D2952" s="2" t="s">
        <v>4055</v>
      </c>
      <c r="E2952" s="2" t="s">
        <v>674</v>
      </c>
      <c r="F2952" s="3">
        <v>42614</v>
      </c>
      <c r="G2952" s="2" t="str">
        <f>"9780823274703"</f>
        <v>9780823274703</v>
      </c>
      <c r="H2952" s="2" t="s">
        <v>14</v>
      </c>
      <c r="I2952" s="4">
        <v>43719.841666666667</v>
      </c>
      <c r="J2952" s="2" t="s">
        <v>4057</v>
      </c>
    </row>
    <row r="2953" spans="1:10" ht="135" x14ac:dyDescent="0.25">
      <c r="A2953" s="2" t="s">
        <v>12</v>
      </c>
      <c r="B2953" s="2" t="s">
        <v>12373</v>
      </c>
      <c r="C2953" s="2" t="s">
        <v>12374</v>
      </c>
      <c r="D2953" s="2" t="s">
        <v>12372</v>
      </c>
      <c r="E2953" s="2" t="s">
        <v>11</v>
      </c>
      <c r="F2953" s="3">
        <v>19633</v>
      </c>
      <c r="G2953" s="2" t="str">
        <f>"9780813211213"</f>
        <v>9780813211213</v>
      </c>
      <c r="H2953" s="2" t="s">
        <v>14</v>
      </c>
      <c r="I2953" s="4">
        <v>42813.504861111112</v>
      </c>
      <c r="J2953" s="2" t="s">
        <v>12375</v>
      </c>
    </row>
    <row r="2954" spans="1:10" ht="135" x14ac:dyDescent="0.25">
      <c r="A2954" s="2" t="s">
        <v>12</v>
      </c>
      <c r="B2954" s="2" t="s">
        <v>9961</v>
      </c>
      <c r="C2954" s="2" t="s">
        <v>9962</v>
      </c>
      <c r="D2954" s="2" t="s">
        <v>9960</v>
      </c>
      <c r="E2954" s="2" t="s">
        <v>216</v>
      </c>
      <c r="F2954" s="3">
        <v>42430</v>
      </c>
      <c r="G2954" s="2" t="str">
        <f>"9781438460147"</f>
        <v>9781438460147</v>
      </c>
      <c r="H2954" s="2" t="s">
        <v>14</v>
      </c>
      <c r="I2954" s="4">
        <v>43116.257638888892</v>
      </c>
      <c r="J2954" s="2" t="s">
        <v>9963</v>
      </c>
    </row>
    <row r="2955" spans="1:10" ht="135" x14ac:dyDescent="0.25">
      <c r="A2955" s="2" t="s">
        <v>12</v>
      </c>
      <c r="B2955" s="2">
        <v>232.90799999999999</v>
      </c>
      <c r="C2955" s="2" t="s">
        <v>1589</v>
      </c>
      <c r="D2955" s="2" t="s">
        <v>1588</v>
      </c>
      <c r="E2955" s="2" t="s">
        <v>669</v>
      </c>
      <c r="F2955" s="3">
        <v>41320</v>
      </c>
      <c r="G2955" s="2" t="str">
        <f>"9781441259752"</f>
        <v>9781441259752</v>
      </c>
      <c r="H2955" s="2" t="s">
        <v>14</v>
      </c>
      <c r="I2955" s="4">
        <v>43936.569444444445</v>
      </c>
      <c r="J2955" s="2" t="s">
        <v>1590</v>
      </c>
    </row>
    <row r="2956" spans="1:10" ht="135" x14ac:dyDescent="0.25">
      <c r="A2956" s="2" t="s">
        <v>12</v>
      </c>
      <c r="B2956" s="2">
        <v>230.01</v>
      </c>
      <c r="C2956" s="2" t="s">
        <v>11260</v>
      </c>
      <c r="D2956" s="2" t="s">
        <v>11259</v>
      </c>
      <c r="E2956" s="2" t="s">
        <v>390</v>
      </c>
      <c r="F2956" s="3">
        <v>42139</v>
      </c>
      <c r="G2956" s="2" t="str">
        <f>"9780268088682"</f>
        <v>9780268088682</v>
      </c>
      <c r="H2956" s="2" t="s">
        <v>14</v>
      </c>
      <c r="I2956" s="4">
        <v>42998.354861111111</v>
      </c>
      <c r="J2956" s="2" t="s">
        <v>11261</v>
      </c>
    </row>
    <row r="2957" spans="1:10" ht="135" x14ac:dyDescent="0.25">
      <c r="A2957" s="2" t="s">
        <v>12</v>
      </c>
      <c r="B2957" s="2">
        <v>221.6</v>
      </c>
      <c r="C2957" s="2" t="s">
        <v>12966</v>
      </c>
      <c r="D2957" s="2" t="s">
        <v>12965</v>
      </c>
      <c r="E2957" s="2" t="s">
        <v>2089</v>
      </c>
      <c r="F2957" s="3">
        <v>42278</v>
      </c>
      <c r="G2957" s="2" t="str">
        <f>"9781575063577"</f>
        <v>9781575063577</v>
      </c>
      <c r="H2957" s="2" t="s">
        <v>14</v>
      </c>
      <c r="I2957" s="4">
        <v>42753.566666666666</v>
      </c>
      <c r="J2957" s="2" t="s">
        <v>12967</v>
      </c>
    </row>
    <row r="2958" spans="1:10" ht="135" x14ac:dyDescent="0.25">
      <c r="A2958" s="2" t="s">
        <v>12</v>
      </c>
      <c r="B2958" s="2">
        <v>294.3424</v>
      </c>
      <c r="C2958" s="2" t="s">
        <v>4816</v>
      </c>
      <c r="D2958" s="2" t="s">
        <v>4815</v>
      </c>
      <c r="E2958" s="2" t="s">
        <v>856</v>
      </c>
      <c r="F2958" s="3">
        <v>43466</v>
      </c>
      <c r="G2958" s="2" t="str">
        <f>"9780295744070"</f>
        <v>9780295744070</v>
      </c>
      <c r="H2958" s="2" t="s">
        <v>14</v>
      </c>
      <c r="I2958" s="4">
        <v>43623.831250000003</v>
      </c>
      <c r="J2958" s="2" t="s">
        <v>4817</v>
      </c>
    </row>
    <row r="2959" spans="1:10" ht="135" x14ac:dyDescent="0.25">
      <c r="A2959" s="2" t="s">
        <v>12</v>
      </c>
      <c r="B2959" s="2" t="s">
        <v>10733</v>
      </c>
      <c r="C2959" s="2" t="s">
        <v>10734</v>
      </c>
      <c r="D2959" s="2" t="s">
        <v>10732</v>
      </c>
      <c r="E2959" s="2" t="s">
        <v>2089</v>
      </c>
      <c r="F2959" s="3">
        <v>38504</v>
      </c>
      <c r="G2959" s="2" t="str">
        <f>"9781575065588"</f>
        <v>9781575065588</v>
      </c>
      <c r="H2959" s="2" t="s">
        <v>14</v>
      </c>
      <c r="I2959" s="4">
        <v>43039.396527777775</v>
      </c>
      <c r="J2959" s="2" t="s">
        <v>10735</v>
      </c>
    </row>
    <row r="2960" spans="1:10" ht="180" x14ac:dyDescent="0.25">
      <c r="A2960" s="2" t="s">
        <v>12</v>
      </c>
      <c r="B2960" s="2" t="s">
        <v>9583</v>
      </c>
      <c r="C2960" s="2" t="s">
        <v>9584</v>
      </c>
      <c r="D2960" s="2" t="s">
        <v>9582</v>
      </c>
      <c r="E2960" s="2" t="s">
        <v>216</v>
      </c>
      <c r="F2960" s="3">
        <v>42339</v>
      </c>
      <c r="G2960" s="2" t="str">
        <f>"9781438458243"</f>
        <v>9781438458243</v>
      </c>
      <c r="H2960" s="2" t="s">
        <v>14</v>
      </c>
      <c r="I2960" s="4">
        <v>43150.304166666669</v>
      </c>
      <c r="J2960" s="2" t="s">
        <v>9585</v>
      </c>
    </row>
    <row r="2961" spans="1:10" ht="135" x14ac:dyDescent="0.25">
      <c r="A2961" s="2" t="s">
        <v>12</v>
      </c>
      <c r="B2961" s="2">
        <v>236</v>
      </c>
      <c r="C2961" s="2" t="s">
        <v>12507</v>
      </c>
      <c r="D2961" s="2" t="s">
        <v>12506</v>
      </c>
      <c r="E2961" s="2" t="s">
        <v>499</v>
      </c>
      <c r="F2961" s="3">
        <v>41758</v>
      </c>
      <c r="G2961" s="2" t="str">
        <f>"9781626160552"</f>
        <v>9781626160552</v>
      </c>
      <c r="H2961" s="2" t="s">
        <v>14</v>
      </c>
      <c r="I2961" s="4">
        <v>42800.849305555559</v>
      </c>
      <c r="J2961" s="2" t="s">
        <v>12508</v>
      </c>
    </row>
    <row r="2962" spans="1:10" ht="135" x14ac:dyDescent="0.25">
      <c r="A2962" s="2" t="s">
        <v>12</v>
      </c>
      <c r="B2962" s="2">
        <v>234</v>
      </c>
      <c r="C2962" s="2" t="s">
        <v>5805</v>
      </c>
      <c r="D2962" s="2" t="s">
        <v>5804</v>
      </c>
      <c r="E2962" s="2" t="s">
        <v>11</v>
      </c>
      <c r="F2962" s="3">
        <v>43474</v>
      </c>
      <c r="G2962" s="2" t="str">
        <f>"9780813231433"</f>
        <v>9780813231433</v>
      </c>
      <c r="H2962" s="2" t="s">
        <v>14</v>
      </c>
      <c r="I2962" s="4">
        <v>43569.748611111114</v>
      </c>
      <c r="J2962" s="2" t="s">
        <v>5806</v>
      </c>
    </row>
    <row r="2963" spans="1:10" ht="135" x14ac:dyDescent="0.25">
      <c r="A2963" s="2" t="s">
        <v>12</v>
      </c>
      <c r="B2963" s="2">
        <v>234</v>
      </c>
      <c r="C2963" s="2" t="s">
        <v>5164</v>
      </c>
      <c r="D2963" s="2" t="s">
        <v>5163</v>
      </c>
      <c r="E2963" s="2" t="s">
        <v>11</v>
      </c>
      <c r="F2963" s="3">
        <v>43556</v>
      </c>
      <c r="G2963" s="2" t="str">
        <f>"9780813231907"</f>
        <v>9780813231907</v>
      </c>
      <c r="H2963" s="2" t="s">
        <v>14</v>
      </c>
      <c r="I2963" s="4">
        <v>43609.728472222225</v>
      </c>
      <c r="J2963" s="2" t="s">
        <v>5165</v>
      </c>
    </row>
    <row r="2964" spans="1:10" ht="135" x14ac:dyDescent="0.25">
      <c r="A2964" s="2" t="s">
        <v>12</v>
      </c>
      <c r="B2964" s="2">
        <v>239</v>
      </c>
      <c r="C2964" s="2" t="s">
        <v>11223</v>
      </c>
      <c r="D2964" s="2" t="s">
        <v>11222</v>
      </c>
      <c r="E2964" s="2" t="s">
        <v>11</v>
      </c>
      <c r="F2964" s="3">
        <v>38991</v>
      </c>
      <c r="G2964" s="2" t="str">
        <f>"9780813216409"</f>
        <v>9780813216409</v>
      </c>
      <c r="H2964" s="2" t="s">
        <v>14</v>
      </c>
      <c r="I2964" s="4">
        <v>43005.914583333331</v>
      </c>
      <c r="J2964" s="2" t="s">
        <v>11224</v>
      </c>
    </row>
    <row r="2965" spans="1:10" ht="165" x14ac:dyDescent="0.25">
      <c r="A2965" s="2" t="s">
        <v>12</v>
      </c>
      <c r="B2965" s="2">
        <v>230</v>
      </c>
      <c r="C2965" s="2" t="s">
        <v>950</v>
      </c>
      <c r="D2965" s="2" t="s">
        <v>948</v>
      </c>
      <c r="E2965" s="2" t="s">
        <v>949</v>
      </c>
      <c r="F2965" s="3">
        <v>42852</v>
      </c>
      <c r="G2965" s="2" t="str">
        <f>"9783515115391"</f>
        <v>9783515115391</v>
      </c>
      <c r="H2965" s="2" t="s">
        <v>14</v>
      </c>
      <c r="I2965" s="4">
        <v>43973.59375</v>
      </c>
      <c r="J2965" s="2" t="s">
        <v>951</v>
      </c>
    </row>
    <row r="2966" spans="1:10" ht="165" x14ac:dyDescent="0.25">
      <c r="A2966" s="2" t="s">
        <v>12</v>
      </c>
      <c r="B2966" s="2" t="s">
        <v>4456</v>
      </c>
      <c r="C2966" s="2" t="s">
        <v>4457</v>
      </c>
      <c r="D2966" s="2" t="s">
        <v>4455</v>
      </c>
      <c r="E2966" s="2" t="s">
        <v>235</v>
      </c>
      <c r="F2966" s="3">
        <v>42485</v>
      </c>
      <c r="G2966" s="2" t="str">
        <f>"9781440838859"</f>
        <v>9781440838859</v>
      </c>
      <c r="H2966" s="2" t="s">
        <v>14</v>
      </c>
      <c r="I2966" s="4">
        <v>43667.467361111114</v>
      </c>
      <c r="J2966" s="2" t="s">
        <v>4458</v>
      </c>
    </row>
    <row r="2967" spans="1:10" ht="165" x14ac:dyDescent="0.25">
      <c r="A2967" s="2" t="s">
        <v>12</v>
      </c>
      <c r="B2967" s="2">
        <v>296.09014000000002</v>
      </c>
      <c r="C2967" s="2" t="s">
        <v>1189</v>
      </c>
      <c r="D2967" s="2" t="s">
        <v>1187</v>
      </c>
      <c r="E2967" s="2" t="s">
        <v>1188</v>
      </c>
      <c r="F2967" s="3">
        <v>43405</v>
      </c>
      <c r="G2967" s="2" t="str">
        <f>"9780827614284"</f>
        <v>9780827614284</v>
      </c>
      <c r="H2967" s="2" t="s">
        <v>14</v>
      </c>
      <c r="I2967" s="4">
        <v>43956.854861111111</v>
      </c>
      <c r="J2967" s="2" t="s">
        <v>1190</v>
      </c>
    </row>
    <row r="2968" spans="1:10" ht="135" x14ac:dyDescent="0.25">
      <c r="A2968" s="2" t="s">
        <v>12</v>
      </c>
      <c r="B2968" s="2" t="s">
        <v>12315</v>
      </c>
      <c r="C2968" s="2" t="s">
        <v>12316</v>
      </c>
      <c r="D2968" s="2" t="s">
        <v>12314</v>
      </c>
      <c r="E2968" s="2" t="s">
        <v>3829</v>
      </c>
      <c r="F2968" s="3">
        <v>41581</v>
      </c>
      <c r="G2968" s="2" t="str">
        <f>"9780830864959"</f>
        <v>9780830864959</v>
      </c>
      <c r="H2968" s="2" t="s">
        <v>14</v>
      </c>
      <c r="I2968" s="4">
        <v>42816.597916666666</v>
      </c>
      <c r="J2968" s="2" t="s">
        <v>12317</v>
      </c>
    </row>
    <row r="2969" spans="1:10" ht="135" x14ac:dyDescent="0.25">
      <c r="A2969" s="2" t="s">
        <v>12</v>
      </c>
      <c r="B2969" s="2" t="s">
        <v>12632</v>
      </c>
      <c r="C2969" s="2" t="s">
        <v>12633</v>
      </c>
      <c r="D2969" s="2" t="s">
        <v>12631</v>
      </c>
      <c r="E2969" s="2" t="s">
        <v>216</v>
      </c>
      <c r="F2969" s="3">
        <v>42522</v>
      </c>
      <c r="G2969" s="2" t="str">
        <f>"9781438459967"</f>
        <v>9781438459967</v>
      </c>
      <c r="H2969" s="2" t="s">
        <v>14</v>
      </c>
      <c r="I2969" s="4">
        <v>42787.92291666667</v>
      </c>
      <c r="J2969" s="2" t="s">
        <v>12634</v>
      </c>
    </row>
    <row r="2970" spans="1:10" ht="135" x14ac:dyDescent="0.25">
      <c r="A2970" s="2" t="s">
        <v>12</v>
      </c>
      <c r="B2970" s="2" t="s">
        <v>11652</v>
      </c>
      <c r="C2970" s="2" t="s">
        <v>11653</v>
      </c>
      <c r="D2970" s="2" t="s">
        <v>11651</v>
      </c>
      <c r="E2970" s="2" t="s">
        <v>674</v>
      </c>
      <c r="F2970" s="3">
        <v>41975</v>
      </c>
      <c r="G2970" s="2" t="str">
        <f>"9780823263608"</f>
        <v>9780823263608</v>
      </c>
      <c r="H2970" s="2" t="s">
        <v>14</v>
      </c>
      <c r="I2970" s="4">
        <v>42916.667361111111</v>
      </c>
      <c r="J2970" s="2" t="s">
        <v>11654</v>
      </c>
    </row>
    <row r="2971" spans="1:10" ht="135" x14ac:dyDescent="0.25">
      <c r="A2971" s="2" t="s">
        <v>12</v>
      </c>
      <c r="C2971" s="2" t="s">
        <v>880</v>
      </c>
      <c r="D2971" s="2" t="s">
        <v>879</v>
      </c>
      <c r="E2971" s="2" t="s">
        <v>669</v>
      </c>
      <c r="F2971" s="3">
        <v>43774</v>
      </c>
      <c r="G2971" s="2" t="str">
        <f>"9781493419722"</f>
        <v>9781493419722</v>
      </c>
      <c r="H2971" s="2" t="s">
        <v>14</v>
      </c>
      <c r="I2971" s="4">
        <v>43977.506249999999</v>
      </c>
      <c r="J2971" s="2" t="s">
        <v>881</v>
      </c>
    </row>
    <row r="2972" spans="1:10" ht="135" x14ac:dyDescent="0.25">
      <c r="A2972" s="2" t="s">
        <v>12</v>
      </c>
      <c r="B2972" s="2" t="s">
        <v>9742</v>
      </c>
      <c r="C2972" s="2" t="s">
        <v>9743</v>
      </c>
      <c r="D2972" s="2" t="s">
        <v>9741</v>
      </c>
      <c r="E2972" s="2" t="s">
        <v>2089</v>
      </c>
      <c r="F2972" s="3">
        <v>42583</v>
      </c>
      <c r="G2972" s="2" t="str">
        <f>"9781575064550"</f>
        <v>9781575064550</v>
      </c>
      <c r="H2972" s="2" t="s">
        <v>14</v>
      </c>
      <c r="I2972" s="4">
        <v>43133.501388888886</v>
      </c>
      <c r="J2972" s="2" t="s">
        <v>9744</v>
      </c>
    </row>
    <row r="2973" spans="1:10" ht="135" x14ac:dyDescent="0.25">
      <c r="A2973" s="2" t="s">
        <v>12</v>
      </c>
      <c r="B2973" s="2">
        <v>283.09199999999998</v>
      </c>
      <c r="C2973" s="2" t="s">
        <v>9990</v>
      </c>
      <c r="D2973" s="2" t="s">
        <v>9989</v>
      </c>
      <c r="E2973" s="2" t="s">
        <v>557</v>
      </c>
      <c r="F2973" s="3">
        <v>42505</v>
      </c>
      <c r="G2973" s="2" t="str">
        <f>"9781467445252"</f>
        <v>9781467445252</v>
      </c>
      <c r="H2973" s="2" t="s">
        <v>14</v>
      </c>
      <c r="I2973" s="4">
        <v>43113.640277777777</v>
      </c>
      <c r="J2973" s="2" t="s">
        <v>9991</v>
      </c>
    </row>
    <row r="2974" spans="1:10" ht="135" x14ac:dyDescent="0.25">
      <c r="A2974" s="2" t="s">
        <v>12</v>
      </c>
      <c r="B2974" s="2">
        <v>299.67399999999998</v>
      </c>
      <c r="C2974" s="2" t="s">
        <v>6180</v>
      </c>
      <c r="D2974" s="2" t="s">
        <v>6179</v>
      </c>
      <c r="E2974" s="2" t="s">
        <v>97</v>
      </c>
      <c r="F2974" s="3">
        <v>42255</v>
      </c>
      <c r="G2974" s="2" t="str">
        <f>"9780231539913"</f>
        <v>9780231539913</v>
      </c>
      <c r="H2974" s="2" t="s">
        <v>14</v>
      </c>
      <c r="I2974" s="4">
        <v>43535.359027777777</v>
      </c>
      <c r="J2974" s="2" t="s">
        <v>6181</v>
      </c>
    </row>
    <row r="2975" spans="1:10" ht="135" x14ac:dyDescent="0.25">
      <c r="A2975" s="2" t="s">
        <v>12</v>
      </c>
      <c r="B2975" s="2">
        <v>200.19</v>
      </c>
      <c r="C2975" s="2" t="s">
        <v>6863</v>
      </c>
      <c r="D2975" s="2" t="s">
        <v>6862</v>
      </c>
      <c r="E2975" s="2" t="s">
        <v>328</v>
      </c>
      <c r="F2975" s="3">
        <v>41435</v>
      </c>
      <c r="G2975" s="2" t="str">
        <f>"9780739180846"</f>
        <v>9780739180846</v>
      </c>
      <c r="H2975" s="2" t="s">
        <v>14</v>
      </c>
      <c r="I2975" s="4">
        <v>43481.719444444447</v>
      </c>
      <c r="J2975" s="2" t="s">
        <v>6864</v>
      </c>
    </row>
    <row r="2976" spans="1:10" ht="135" x14ac:dyDescent="0.25">
      <c r="A2976" s="2" t="s">
        <v>12</v>
      </c>
      <c r="B2976" s="2">
        <v>294.30925200000001</v>
      </c>
      <c r="C2976" s="2" t="s">
        <v>6624</v>
      </c>
      <c r="D2976" s="2" t="s">
        <v>6623</v>
      </c>
      <c r="E2976" s="2" t="s">
        <v>216</v>
      </c>
      <c r="F2976" s="3">
        <v>41883</v>
      </c>
      <c r="G2976" s="2" t="str">
        <f>"9781438451329"</f>
        <v>9781438451329</v>
      </c>
      <c r="H2976" s="2" t="s">
        <v>14</v>
      </c>
      <c r="I2976" s="4">
        <v>43502.518055555556</v>
      </c>
      <c r="J2976" s="2" t="s">
        <v>6625</v>
      </c>
    </row>
    <row r="2977" spans="1:10" ht="135" x14ac:dyDescent="0.25">
      <c r="A2977" s="2" t="s">
        <v>12</v>
      </c>
      <c r="B2977" s="2">
        <v>200.7</v>
      </c>
      <c r="C2977" s="2" t="s">
        <v>11751</v>
      </c>
      <c r="D2977" s="2" t="s">
        <v>11750</v>
      </c>
      <c r="E2977" s="2" t="s">
        <v>97</v>
      </c>
      <c r="F2977" s="3">
        <v>41534</v>
      </c>
      <c r="G2977" s="2" t="str">
        <f>"9780231535496"</f>
        <v>9780231535496</v>
      </c>
      <c r="H2977" s="2" t="s">
        <v>14</v>
      </c>
      <c r="I2977" s="4">
        <v>42901.448611111111</v>
      </c>
      <c r="J2977" s="2" t="s">
        <v>11752</v>
      </c>
    </row>
    <row r="2978" spans="1:10" ht="135" x14ac:dyDescent="0.25">
      <c r="A2978" s="2" t="s">
        <v>12</v>
      </c>
      <c r="B2978" s="2" t="s">
        <v>10395</v>
      </c>
      <c r="C2978" s="2" t="s">
        <v>10396</v>
      </c>
      <c r="D2978" s="2" t="s">
        <v>10394</v>
      </c>
      <c r="E2978" s="2" t="s">
        <v>4660</v>
      </c>
      <c r="F2978" s="3">
        <v>30316</v>
      </c>
      <c r="G2978" s="2" t="str">
        <f>"9780813161754"</f>
        <v>9780813161754</v>
      </c>
      <c r="H2978" s="2" t="s">
        <v>14</v>
      </c>
      <c r="I2978" s="4">
        <v>43060.947916666664</v>
      </c>
      <c r="J2978" s="2" t="s">
        <v>10397</v>
      </c>
    </row>
    <row r="2979" spans="1:10" ht="135" x14ac:dyDescent="0.25">
      <c r="A2979" s="2" t="s">
        <v>12</v>
      </c>
      <c r="B2979" s="2" t="s">
        <v>4468</v>
      </c>
      <c r="C2979" s="2" t="s">
        <v>4469</v>
      </c>
      <c r="D2979" s="2" t="s">
        <v>4466</v>
      </c>
      <c r="E2979" s="2" t="s">
        <v>4467</v>
      </c>
      <c r="F2979" s="3">
        <v>42583</v>
      </c>
      <c r="G2979" s="2" t="str">
        <f>"9781433680250"</f>
        <v>9781433680250</v>
      </c>
      <c r="H2979" s="2" t="s">
        <v>14</v>
      </c>
      <c r="I2979" s="4">
        <v>43663.714583333334</v>
      </c>
      <c r="J2979" s="2" t="s">
        <v>4470</v>
      </c>
    </row>
    <row r="2980" spans="1:10" ht="135" x14ac:dyDescent="0.25">
      <c r="A2980" s="2" t="s">
        <v>12</v>
      </c>
      <c r="B2980" s="2">
        <v>270.10919999999999</v>
      </c>
      <c r="C2980" s="2" t="s">
        <v>11996</v>
      </c>
      <c r="D2980" s="2" t="s">
        <v>11995</v>
      </c>
      <c r="E2980" s="2" t="s">
        <v>11</v>
      </c>
      <c r="F2980" s="3">
        <v>42411</v>
      </c>
      <c r="G2980" s="2" t="str">
        <f>"9780813228020"</f>
        <v>9780813228020</v>
      </c>
      <c r="H2980" s="2" t="s">
        <v>14</v>
      </c>
      <c r="I2980" s="4">
        <v>42863.681944444441</v>
      </c>
      <c r="J2980" s="2" t="s">
        <v>11997</v>
      </c>
    </row>
    <row r="2981" spans="1:10" ht="135" x14ac:dyDescent="0.25">
      <c r="A2981" s="2" t="s">
        <v>12</v>
      </c>
      <c r="B2981" s="2">
        <v>274.05</v>
      </c>
      <c r="C2981" s="2" t="s">
        <v>11901</v>
      </c>
      <c r="D2981" s="2" t="s">
        <v>11900</v>
      </c>
      <c r="E2981" s="2" t="s">
        <v>674</v>
      </c>
      <c r="F2981" s="3">
        <v>42675</v>
      </c>
      <c r="G2981" s="2" t="str">
        <f>"9780823274437"</f>
        <v>9780823274437</v>
      </c>
      <c r="H2981" s="2" t="s">
        <v>14</v>
      </c>
      <c r="I2981" s="4">
        <v>42873.254166666666</v>
      </c>
      <c r="J2981" s="2" t="s">
        <v>11902</v>
      </c>
    </row>
    <row r="2982" spans="1:10" ht="165" x14ac:dyDescent="0.25">
      <c r="A2982" s="2" t="s">
        <v>12</v>
      </c>
      <c r="B2982" s="2">
        <v>277.30810000000002</v>
      </c>
      <c r="C2982" s="2" t="s">
        <v>6332</v>
      </c>
      <c r="D2982" s="2" t="s">
        <v>6331</v>
      </c>
      <c r="E2982" s="2" t="s">
        <v>130</v>
      </c>
      <c r="F2982" s="3">
        <v>42227</v>
      </c>
      <c r="G2982" s="2" t="str">
        <f>"9780813055503"</f>
        <v>9780813055503</v>
      </c>
      <c r="H2982" s="2" t="s">
        <v>14</v>
      </c>
      <c r="I2982" s="4">
        <v>43525.38958333333</v>
      </c>
      <c r="J2982" s="2" t="s">
        <v>6333</v>
      </c>
    </row>
    <row r="2983" spans="1:10" ht="135" x14ac:dyDescent="0.25">
      <c r="A2983" s="2" t="s">
        <v>12</v>
      </c>
      <c r="B2983" s="2">
        <v>233.14</v>
      </c>
      <c r="C2983" s="2" t="s">
        <v>7801</v>
      </c>
      <c r="D2983" s="2" t="s">
        <v>7800</v>
      </c>
      <c r="E2983" s="2" t="s">
        <v>557</v>
      </c>
      <c r="F2983" s="3">
        <v>42851</v>
      </c>
      <c r="G2983" s="2" t="str">
        <f>"9781467446860"</f>
        <v>9781467446860</v>
      </c>
      <c r="H2983" s="2" t="s">
        <v>14</v>
      </c>
      <c r="I2983" s="4">
        <v>43388.667361111111</v>
      </c>
      <c r="J2983" s="2" t="s">
        <v>7802</v>
      </c>
    </row>
    <row r="2984" spans="1:10" ht="135" x14ac:dyDescent="0.25">
      <c r="A2984" s="2" t="s">
        <v>12</v>
      </c>
      <c r="B2984" s="2" t="s">
        <v>5658</v>
      </c>
      <c r="C2984" s="2" t="s">
        <v>4816</v>
      </c>
      <c r="D2984" s="2" t="s">
        <v>5657</v>
      </c>
      <c r="E2984" s="2" t="s">
        <v>856</v>
      </c>
      <c r="F2984" s="3">
        <v>42125</v>
      </c>
      <c r="G2984" s="2" t="str">
        <f>"9780295805702"</f>
        <v>9780295805702</v>
      </c>
      <c r="H2984" s="2" t="s">
        <v>14</v>
      </c>
      <c r="I2984" s="4">
        <v>43583.443055555559</v>
      </c>
      <c r="J2984" s="2" t="s">
        <v>5659</v>
      </c>
    </row>
    <row r="2985" spans="1:10" ht="135" x14ac:dyDescent="0.25">
      <c r="A2985" s="2" t="s">
        <v>12</v>
      </c>
      <c r="B2985" s="2" t="s">
        <v>8179</v>
      </c>
      <c r="C2985" s="2" t="s">
        <v>1962</v>
      </c>
      <c r="D2985" s="2" t="s">
        <v>8178</v>
      </c>
      <c r="E2985" s="2" t="s">
        <v>11</v>
      </c>
      <c r="F2985" s="3">
        <v>42846</v>
      </c>
      <c r="G2985" s="2" t="str">
        <f>"9780813229577"</f>
        <v>9780813229577</v>
      </c>
      <c r="H2985" s="2" t="s">
        <v>14</v>
      </c>
      <c r="I2985" s="4">
        <v>43344.522222222222</v>
      </c>
      <c r="J2985" s="2" t="s">
        <v>8180</v>
      </c>
    </row>
    <row r="2986" spans="1:10" ht="135" x14ac:dyDescent="0.25">
      <c r="A2986" s="2" t="s">
        <v>12</v>
      </c>
      <c r="B2986" s="2">
        <v>261.5</v>
      </c>
      <c r="C2986" s="2" t="s">
        <v>992</v>
      </c>
      <c r="D2986" s="2" t="s">
        <v>2351</v>
      </c>
      <c r="E2986" s="2" t="s">
        <v>578</v>
      </c>
      <c r="F2986" s="3">
        <v>39146</v>
      </c>
      <c r="G2986" s="2" t="str">
        <f>"9780252092343"</f>
        <v>9780252092343</v>
      </c>
      <c r="H2986" s="2" t="s">
        <v>14</v>
      </c>
      <c r="I2986" s="4">
        <v>43891.951388888891</v>
      </c>
      <c r="J2986" s="2" t="s">
        <v>2352</v>
      </c>
    </row>
    <row r="2987" spans="1:10" ht="195" x14ac:dyDescent="0.25">
      <c r="A2987" s="2" t="s">
        <v>12</v>
      </c>
      <c r="B2987" s="2" t="s">
        <v>12089</v>
      </c>
      <c r="C2987" s="2" t="s">
        <v>12090</v>
      </c>
      <c r="D2987" s="2" t="s">
        <v>12088</v>
      </c>
      <c r="E2987" s="2" t="s">
        <v>2089</v>
      </c>
      <c r="F2987" s="3">
        <v>41609</v>
      </c>
      <c r="G2987" s="2" t="str">
        <f>"9781575068862"</f>
        <v>9781575068862</v>
      </c>
      <c r="H2987" s="2" t="s">
        <v>14</v>
      </c>
      <c r="I2987" s="4">
        <v>42851.460416666669</v>
      </c>
      <c r="J2987" s="2" t="s">
        <v>12091</v>
      </c>
    </row>
    <row r="2988" spans="1:10" ht="135" x14ac:dyDescent="0.25">
      <c r="A2988" s="2" t="s">
        <v>12</v>
      </c>
      <c r="B2988" s="2">
        <v>296.10000000000002</v>
      </c>
      <c r="C2988" s="2" t="s">
        <v>9897</v>
      </c>
      <c r="D2988" s="2" t="s">
        <v>9896</v>
      </c>
      <c r="E2988" s="2" t="s">
        <v>8233</v>
      </c>
      <c r="F2988" s="3">
        <v>41947</v>
      </c>
      <c r="G2988" s="2" t="str">
        <f>"9781611686098"</f>
        <v>9781611686098</v>
      </c>
      <c r="H2988" s="2" t="s">
        <v>14</v>
      </c>
      <c r="I2988" s="4">
        <v>43122.433333333334</v>
      </c>
      <c r="J2988" s="2" t="s">
        <v>9898</v>
      </c>
    </row>
    <row r="2989" spans="1:10" ht="165" x14ac:dyDescent="0.25">
      <c r="A2989" s="2" t="s">
        <v>12</v>
      </c>
      <c r="B2989" s="2" t="s">
        <v>1512</v>
      </c>
      <c r="C2989" s="2" t="s">
        <v>1513</v>
      </c>
      <c r="D2989" s="2" t="s">
        <v>1511</v>
      </c>
      <c r="E2989" s="2" t="s">
        <v>156</v>
      </c>
      <c r="F2989" s="3">
        <v>43542</v>
      </c>
      <c r="G2989" s="2" t="str">
        <f>"9781469648651"</f>
        <v>9781469648651</v>
      </c>
      <c r="H2989" s="2" t="s">
        <v>14</v>
      </c>
      <c r="I2989" s="4">
        <v>43940.472222222219</v>
      </c>
      <c r="J2989" s="2" t="s">
        <v>1514</v>
      </c>
    </row>
    <row r="2990" spans="1:10" ht="135" x14ac:dyDescent="0.25">
      <c r="A2990" s="2" t="s">
        <v>12</v>
      </c>
      <c r="B2990" s="2">
        <v>297.4092</v>
      </c>
      <c r="C2990" s="2" t="s">
        <v>3987</v>
      </c>
      <c r="D2990" s="2" t="s">
        <v>3986</v>
      </c>
      <c r="E2990" s="2" t="s">
        <v>54</v>
      </c>
      <c r="F2990" s="3">
        <v>43676</v>
      </c>
      <c r="G2990" s="2" t="str">
        <f>"9781503609648"</f>
        <v>9781503609648</v>
      </c>
      <c r="H2990" s="2" t="s">
        <v>14</v>
      </c>
      <c r="I2990" s="4">
        <v>43731.332638888889</v>
      </c>
      <c r="J2990" s="2" t="s">
        <v>3988</v>
      </c>
    </row>
    <row r="2991" spans="1:10" ht="180" x14ac:dyDescent="0.25">
      <c r="A2991" s="2" t="s">
        <v>12</v>
      </c>
      <c r="B2991" s="2" t="s">
        <v>7531</v>
      </c>
      <c r="C2991" s="2" t="s">
        <v>7532</v>
      </c>
      <c r="D2991" s="2" t="s">
        <v>7530</v>
      </c>
      <c r="E2991" s="2" t="s">
        <v>2089</v>
      </c>
      <c r="F2991" s="3">
        <v>41275</v>
      </c>
      <c r="G2991" s="2" t="str">
        <f>"9781575068664"</f>
        <v>9781575068664</v>
      </c>
      <c r="H2991" s="2" t="s">
        <v>14</v>
      </c>
      <c r="I2991" s="4">
        <v>43410.502083333333</v>
      </c>
      <c r="J2991" s="2" t="s">
        <v>7533</v>
      </c>
    </row>
    <row r="2992" spans="1:10" ht="135" x14ac:dyDescent="0.25">
      <c r="A2992" s="2" t="s">
        <v>12</v>
      </c>
      <c r="B2992" s="2" t="s">
        <v>8213</v>
      </c>
      <c r="C2992" s="2" t="s">
        <v>8214</v>
      </c>
      <c r="D2992" s="2" t="s">
        <v>8212</v>
      </c>
      <c r="E2992" s="2" t="s">
        <v>2089</v>
      </c>
      <c r="F2992" s="3">
        <v>41982</v>
      </c>
      <c r="G2992" s="2" t="str">
        <f>"9781575068992"</f>
        <v>9781575068992</v>
      </c>
      <c r="H2992" s="2" t="s">
        <v>14</v>
      </c>
      <c r="I2992" s="4">
        <v>43337.818749999999</v>
      </c>
      <c r="J2992" s="2" t="s">
        <v>8215</v>
      </c>
    </row>
    <row r="2993" spans="1:10" ht="135" x14ac:dyDescent="0.25">
      <c r="A2993" s="2" t="s">
        <v>12</v>
      </c>
      <c r="C2993" s="2" t="s">
        <v>1374</v>
      </c>
      <c r="D2993" s="2" t="s">
        <v>1373</v>
      </c>
      <c r="E2993" s="2" t="s">
        <v>246</v>
      </c>
      <c r="F2993" s="3">
        <v>39904</v>
      </c>
      <c r="G2993" s="2" t="str">
        <f>"9783447190640"</f>
        <v>9783447190640</v>
      </c>
      <c r="H2993" s="2" t="s">
        <v>14</v>
      </c>
      <c r="I2993" s="4">
        <v>43946.652777777781</v>
      </c>
      <c r="J2993" s="2" t="s">
        <v>1375</v>
      </c>
    </row>
    <row r="2994" spans="1:10" ht="150" x14ac:dyDescent="0.25">
      <c r="A2994" s="2" t="s">
        <v>12</v>
      </c>
      <c r="B2994" s="2">
        <v>221.4</v>
      </c>
      <c r="C2994" s="2" t="s">
        <v>6765</v>
      </c>
      <c r="D2994" s="2" t="s">
        <v>6764</v>
      </c>
      <c r="E2994" s="2" t="s">
        <v>723</v>
      </c>
      <c r="F2994" s="3">
        <v>43296</v>
      </c>
      <c r="G2994" s="2" t="str">
        <f>"9781612494968"</f>
        <v>9781612494968</v>
      </c>
      <c r="H2994" s="2" t="s">
        <v>14</v>
      </c>
      <c r="I2994" s="4">
        <v>43488.745138888888</v>
      </c>
      <c r="J2994" s="2" t="s">
        <v>6766</v>
      </c>
    </row>
    <row r="2995" spans="1:10" ht="135" x14ac:dyDescent="0.25">
      <c r="A2995" s="2" t="s">
        <v>12</v>
      </c>
      <c r="B2995" s="2">
        <v>230.20920000000001</v>
      </c>
      <c r="C2995" s="2" t="s">
        <v>1670</v>
      </c>
      <c r="D2995" s="2" t="s">
        <v>3840</v>
      </c>
      <c r="E2995" s="2" t="s">
        <v>11</v>
      </c>
      <c r="F2995" s="3">
        <v>43446</v>
      </c>
      <c r="G2995" s="2" t="str">
        <f>"9780813231389"</f>
        <v>9780813231389</v>
      </c>
      <c r="H2995" s="2" t="s">
        <v>14</v>
      </c>
      <c r="I2995" s="4">
        <v>43750.63958333333</v>
      </c>
      <c r="J2995" s="2" t="s">
        <v>3841</v>
      </c>
    </row>
    <row r="2996" spans="1:10" ht="225" x14ac:dyDescent="0.25">
      <c r="A2996" s="2" t="s">
        <v>12</v>
      </c>
      <c r="B2996" s="2" t="s">
        <v>5236</v>
      </c>
      <c r="C2996" s="2" t="s">
        <v>5237</v>
      </c>
      <c r="D2996" s="2" t="s">
        <v>5235</v>
      </c>
      <c r="E2996" s="2" t="s">
        <v>2089</v>
      </c>
      <c r="F2996" s="3">
        <v>42005</v>
      </c>
      <c r="G2996" s="2" t="str">
        <f>"9781575063638"</f>
        <v>9781575063638</v>
      </c>
      <c r="H2996" s="2" t="s">
        <v>14</v>
      </c>
      <c r="I2996" s="4">
        <v>43607.482638888891</v>
      </c>
      <c r="J2996" s="2" t="s">
        <v>5238</v>
      </c>
    </row>
    <row r="2997" spans="1:10" ht="150" x14ac:dyDescent="0.25">
      <c r="A2997" s="2" t="s">
        <v>12</v>
      </c>
      <c r="B2997" s="2" t="s">
        <v>7797</v>
      </c>
      <c r="C2997" s="2" t="s">
        <v>7798</v>
      </c>
      <c r="D2997" s="2" t="s">
        <v>7796</v>
      </c>
      <c r="E2997" s="2" t="s">
        <v>397</v>
      </c>
      <c r="F2997" s="3">
        <v>43054</v>
      </c>
      <c r="G2997" s="2" t="str">
        <f>"9780822983057"</f>
        <v>9780822983057</v>
      </c>
      <c r="H2997" s="2" t="s">
        <v>14</v>
      </c>
      <c r="I2997" s="4">
        <v>43388.749305555553</v>
      </c>
      <c r="J2997" s="2" t="s">
        <v>7799</v>
      </c>
    </row>
    <row r="2998" spans="1:10" ht="165" x14ac:dyDescent="0.25">
      <c r="A2998" s="2" t="s">
        <v>12</v>
      </c>
      <c r="B2998" s="2" t="s">
        <v>13075</v>
      </c>
      <c r="C2998" s="2" t="s">
        <v>13076</v>
      </c>
      <c r="D2998" s="2" t="s">
        <v>13074</v>
      </c>
      <c r="E2998" s="2" t="s">
        <v>284</v>
      </c>
      <c r="F2998" s="3">
        <v>41882</v>
      </c>
      <c r="G2998" s="2" t="str">
        <f>"9780824847937"</f>
        <v>9780824847937</v>
      </c>
      <c r="H2998" s="2" t="s">
        <v>14</v>
      </c>
      <c r="I2998" s="4">
        <v>42739.084027777775</v>
      </c>
      <c r="J2998" s="2" t="s">
        <v>13077</v>
      </c>
    </row>
    <row r="2999" spans="1:10" ht="165" x14ac:dyDescent="0.25">
      <c r="A2999" s="2" t="s">
        <v>12</v>
      </c>
      <c r="B2999" s="2" t="s">
        <v>12337</v>
      </c>
      <c r="C2999" s="2" t="s">
        <v>12338</v>
      </c>
      <c r="D2999" s="2" t="s">
        <v>12336</v>
      </c>
      <c r="E2999" s="2" t="s">
        <v>2089</v>
      </c>
      <c r="F2999" s="3">
        <v>38961</v>
      </c>
      <c r="G2999" s="2" t="str">
        <f>"9781575065755"</f>
        <v>9781575065755</v>
      </c>
      <c r="H2999" s="2" t="s">
        <v>14</v>
      </c>
      <c r="I2999" s="4">
        <v>42815.455555555556</v>
      </c>
      <c r="J2999" s="2" t="s">
        <v>12339</v>
      </c>
    </row>
    <row r="3000" spans="1:10" ht="135" x14ac:dyDescent="0.25">
      <c r="A3000" s="2" t="s">
        <v>12</v>
      </c>
      <c r="B3000" s="2" t="s">
        <v>1615</v>
      </c>
      <c r="C3000" s="2" t="s">
        <v>1616</v>
      </c>
      <c r="D3000" s="2" t="s">
        <v>1614</v>
      </c>
      <c r="E3000" s="2" t="s">
        <v>216</v>
      </c>
      <c r="F3000" s="3">
        <v>43770</v>
      </c>
      <c r="G3000" s="2" t="str">
        <f>"9781438476414"</f>
        <v>9781438476414</v>
      </c>
      <c r="H3000" s="2" t="s">
        <v>14</v>
      </c>
      <c r="I3000" s="4">
        <v>43935.379166666666</v>
      </c>
      <c r="J3000" s="2" t="s">
        <v>1617</v>
      </c>
    </row>
    <row r="3001" spans="1:10" ht="135" x14ac:dyDescent="0.25">
      <c r="A3001" s="2" t="s">
        <v>12</v>
      </c>
      <c r="B3001" s="2" t="s">
        <v>12184</v>
      </c>
      <c r="C3001" s="2" t="s">
        <v>12185</v>
      </c>
      <c r="D3001" s="2" t="s">
        <v>12183</v>
      </c>
      <c r="E3001" s="2" t="s">
        <v>11</v>
      </c>
      <c r="F3001" s="3">
        <v>42767</v>
      </c>
      <c r="G3001" s="2" t="str">
        <f>"9780813229393"</f>
        <v>9780813229393</v>
      </c>
      <c r="H3001" s="2" t="s">
        <v>14</v>
      </c>
      <c r="I3001" s="4">
        <v>42837.712500000001</v>
      </c>
      <c r="J3001" s="2" t="s">
        <v>12186</v>
      </c>
    </row>
    <row r="3002" spans="1:10" ht="135" x14ac:dyDescent="0.25">
      <c r="A3002" s="2" t="s">
        <v>12</v>
      </c>
      <c r="B3002" s="2" t="s">
        <v>9661</v>
      </c>
      <c r="C3002" s="2" t="s">
        <v>9662</v>
      </c>
      <c r="D3002" s="2" t="s">
        <v>9660</v>
      </c>
      <c r="E3002" s="2" t="s">
        <v>216</v>
      </c>
      <c r="F3002" s="3">
        <v>42663</v>
      </c>
      <c r="G3002" s="2" t="str">
        <f>"9781438462233"</f>
        <v>9781438462233</v>
      </c>
      <c r="H3002" s="2" t="s">
        <v>14</v>
      </c>
      <c r="I3002" s="4">
        <v>43139.595138888886</v>
      </c>
      <c r="J3002" s="2" t="s">
        <v>9663</v>
      </c>
    </row>
    <row r="3003" spans="1:10" ht="135" x14ac:dyDescent="0.25">
      <c r="A3003" s="2" t="s">
        <v>12</v>
      </c>
      <c r="B3003" s="2" t="s">
        <v>4588</v>
      </c>
      <c r="C3003" s="2" t="s">
        <v>4589</v>
      </c>
      <c r="D3003" s="2" t="s">
        <v>4587</v>
      </c>
      <c r="E3003" s="2" t="s">
        <v>11</v>
      </c>
      <c r="F3003" s="3">
        <v>41806</v>
      </c>
      <c r="G3003" s="2" t="str">
        <f>"9780813225968"</f>
        <v>9780813225968</v>
      </c>
      <c r="H3003" s="2" t="s">
        <v>14</v>
      </c>
      <c r="I3003" s="4">
        <v>43646.680555555555</v>
      </c>
      <c r="J3003" s="2" t="s">
        <v>4590</v>
      </c>
    </row>
    <row r="3004" spans="1:10" ht="135" x14ac:dyDescent="0.25">
      <c r="A3004" s="2" t="s">
        <v>12</v>
      </c>
      <c r="B3004" s="2">
        <v>222.107</v>
      </c>
      <c r="C3004" s="2" t="s">
        <v>3862</v>
      </c>
      <c r="D3004" s="2" t="s">
        <v>6414</v>
      </c>
      <c r="E3004" s="2" t="s">
        <v>11</v>
      </c>
      <c r="F3004" s="3">
        <v>43405</v>
      </c>
      <c r="G3004" s="2" t="str">
        <f>"9780813231327"</f>
        <v>9780813231327</v>
      </c>
      <c r="H3004" s="2" t="s">
        <v>14</v>
      </c>
      <c r="I3004" s="4">
        <v>43519.652083333334</v>
      </c>
      <c r="J3004" s="2" t="s">
        <v>6415</v>
      </c>
    </row>
    <row r="3005" spans="1:10" ht="135" x14ac:dyDescent="0.25">
      <c r="A3005" s="2" t="s">
        <v>12</v>
      </c>
      <c r="B3005" s="2">
        <v>222.107</v>
      </c>
      <c r="C3005" s="2" t="s">
        <v>3862</v>
      </c>
      <c r="D3005" s="2" t="s">
        <v>3861</v>
      </c>
      <c r="E3005" s="2" t="s">
        <v>11</v>
      </c>
      <c r="F3005" s="3">
        <v>43572</v>
      </c>
      <c r="G3005" s="2" t="str">
        <f>"9780813231624"</f>
        <v>9780813231624</v>
      </c>
      <c r="H3005" s="2" t="s">
        <v>14</v>
      </c>
      <c r="I3005" s="4">
        <v>43748.84375</v>
      </c>
      <c r="J3005" s="2" t="s">
        <v>3863</v>
      </c>
    </row>
    <row r="3006" spans="1:10" ht="135" x14ac:dyDescent="0.25">
      <c r="A3006" s="2" t="s">
        <v>12</v>
      </c>
      <c r="B3006" s="2" t="s">
        <v>7119</v>
      </c>
      <c r="C3006" s="2" t="s">
        <v>7120</v>
      </c>
      <c r="D3006" s="2" t="s">
        <v>7118</v>
      </c>
      <c r="E3006" s="2" t="s">
        <v>11</v>
      </c>
      <c r="F3006" s="3">
        <v>39050</v>
      </c>
      <c r="G3006" s="2" t="str">
        <f>"9780813215983"</f>
        <v>9780813215983</v>
      </c>
      <c r="H3006" s="2" t="s">
        <v>14</v>
      </c>
      <c r="I3006" s="4">
        <v>43445.894444444442</v>
      </c>
      <c r="J3006" s="2" t="s">
        <v>7121</v>
      </c>
    </row>
    <row r="3007" spans="1:10" ht="135" x14ac:dyDescent="0.25">
      <c r="A3007" s="2" t="s">
        <v>12</v>
      </c>
      <c r="B3007" s="2">
        <v>230</v>
      </c>
      <c r="C3007" s="2" t="s">
        <v>3014</v>
      </c>
      <c r="D3007" s="2" t="s">
        <v>3013</v>
      </c>
      <c r="E3007" s="2" t="s">
        <v>390</v>
      </c>
      <c r="F3007" s="3">
        <v>43769</v>
      </c>
      <c r="G3007" s="2" t="str">
        <f>"9780268106003"</f>
        <v>9780268106003</v>
      </c>
      <c r="H3007" s="2" t="s">
        <v>14</v>
      </c>
      <c r="I3007" s="4">
        <v>43833.661111111112</v>
      </c>
      <c r="J3007" s="2" t="s">
        <v>3015</v>
      </c>
    </row>
    <row r="3008" spans="1:10" ht="180" x14ac:dyDescent="0.25">
      <c r="A3008" s="2" t="s">
        <v>12</v>
      </c>
      <c r="B3008" s="2" t="s">
        <v>6424</v>
      </c>
      <c r="C3008" s="2" t="s">
        <v>6425</v>
      </c>
      <c r="D3008" s="2" t="s">
        <v>6423</v>
      </c>
      <c r="E3008" s="2" t="s">
        <v>674</v>
      </c>
      <c r="F3008" s="3">
        <v>41974</v>
      </c>
      <c r="G3008" s="2" t="str">
        <f>"9780823262403"</f>
        <v>9780823262403</v>
      </c>
      <c r="H3008" s="2" t="s">
        <v>14</v>
      </c>
      <c r="I3008" s="4">
        <v>43518.825694444444</v>
      </c>
      <c r="J3008" s="2" t="s">
        <v>6426</v>
      </c>
    </row>
    <row r="3009" spans="1:10" ht="135" x14ac:dyDescent="0.25">
      <c r="A3009" s="2" t="s">
        <v>12</v>
      </c>
      <c r="B3009" s="2">
        <v>286.10919999999999</v>
      </c>
      <c r="C3009" s="2" t="s">
        <v>11137</v>
      </c>
      <c r="D3009" s="2" t="s">
        <v>11136</v>
      </c>
      <c r="E3009" s="2" t="s">
        <v>4660</v>
      </c>
      <c r="F3009" s="3">
        <v>35292</v>
      </c>
      <c r="G3009" s="2" t="str">
        <f>"9780813149899"</f>
        <v>9780813149899</v>
      </c>
      <c r="H3009" s="2" t="s">
        <v>14</v>
      </c>
      <c r="I3009" s="4">
        <v>43013.700694444444</v>
      </c>
      <c r="J3009" s="2" t="s">
        <v>11138</v>
      </c>
    </row>
    <row r="3010" spans="1:10" ht="135" x14ac:dyDescent="0.25">
      <c r="A3010" s="2" t="s">
        <v>12</v>
      </c>
      <c r="B3010" s="2" t="s">
        <v>9916</v>
      </c>
      <c r="C3010" s="2" t="s">
        <v>9917</v>
      </c>
      <c r="D3010" s="2" t="s">
        <v>9915</v>
      </c>
      <c r="E3010" s="2" t="s">
        <v>216</v>
      </c>
      <c r="F3010" s="3">
        <v>37210</v>
      </c>
      <c r="G3010" s="2" t="str">
        <f>"9780791489567"</f>
        <v>9780791489567</v>
      </c>
      <c r="H3010" s="2" t="s">
        <v>14</v>
      </c>
      <c r="I3010" s="4">
        <v>43120.460416666669</v>
      </c>
      <c r="J3010" s="2" t="s">
        <v>9918</v>
      </c>
    </row>
    <row r="3011" spans="1:10" ht="135" x14ac:dyDescent="0.25">
      <c r="A3011" s="2" t="s">
        <v>12</v>
      </c>
      <c r="B3011" s="2">
        <v>296.3827</v>
      </c>
      <c r="C3011" s="2" t="s">
        <v>9677</v>
      </c>
      <c r="D3011" s="2" t="s">
        <v>9676</v>
      </c>
      <c r="E3011" s="2" t="s">
        <v>180</v>
      </c>
      <c r="F3011" s="3">
        <v>42661</v>
      </c>
      <c r="G3011" s="2" t="str">
        <f>"9781479863914"</f>
        <v>9781479863914</v>
      </c>
      <c r="H3011" s="2" t="s">
        <v>14</v>
      </c>
      <c r="I3011" s="4">
        <v>43138.410416666666</v>
      </c>
      <c r="J3011" s="2" t="s">
        <v>9678</v>
      </c>
    </row>
    <row r="3012" spans="1:10" ht="135" x14ac:dyDescent="0.25">
      <c r="A3012" s="2" t="s">
        <v>12</v>
      </c>
      <c r="B3012" s="2">
        <v>270.20920000000001</v>
      </c>
      <c r="C3012" s="2" t="s">
        <v>1168</v>
      </c>
      <c r="D3012" s="2" t="s">
        <v>1167</v>
      </c>
      <c r="E3012" s="2" t="s">
        <v>669</v>
      </c>
      <c r="F3012" s="3">
        <v>42661</v>
      </c>
      <c r="G3012" s="2" t="str">
        <f>"9781493405725"</f>
        <v>9781493405725</v>
      </c>
      <c r="H3012" s="2" t="s">
        <v>14</v>
      </c>
      <c r="I3012" s="4">
        <v>43958.445138888892</v>
      </c>
      <c r="J3012" s="2" t="s">
        <v>1169</v>
      </c>
    </row>
    <row r="3013" spans="1:10" ht="150" x14ac:dyDescent="0.25">
      <c r="A3013" s="2" t="s">
        <v>12</v>
      </c>
      <c r="B3013" s="2">
        <v>297.64999999999998</v>
      </c>
      <c r="C3013" s="2" t="s">
        <v>11437</v>
      </c>
      <c r="D3013" s="2" t="s">
        <v>11436</v>
      </c>
      <c r="E3013" s="2" t="s">
        <v>2747</v>
      </c>
      <c r="F3013" s="3">
        <v>42193</v>
      </c>
      <c r="G3013" s="2" t="str">
        <f>"9783035265460"</f>
        <v>9783035265460</v>
      </c>
      <c r="H3013" s="2" t="s">
        <v>14</v>
      </c>
      <c r="I3013" s="4">
        <v>42971.421527777777</v>
      </c>
      <c r="J3013" s="2" t="s">
        <v>11438</v>
      </c>
    </row>
    <row r="3014" spans="1:10" ht="135" x14ac:dyDescent="0.25">
      <c r="A3014" s="2" t="s">
        <v>12</v>
      </c>
      <c r="B3014" s="2" t="s">
        <v>12874</v>
      </c>
      <c r="C3014" s="2" t="s">
        <v>12875</v>
      </c>
      <c r="D3014" s="2" t="s">
        <v>12873</v>
      </c>
      <c r="E3014" s="2" t="s">
        <v>2089</v>
      </c>
      <c r="F3014" s="3">
        <v>37987</v>
      </c>
      <c r="G3014" s="2" t="str">
        <f>"9781575065311"</f>
        <v>9781575065311</v>
      </c>
      <c r="H3014" s="2" t="s">
        <v>14</v>
      </c>
      <c r="I3014" s="4">
        <v>42764.87222222222</v>
      </c>
      <c r="J3014" s="2" t="s">
        <v>12876</v>
      </c>
    </row>
    <row r="3015" spans="1:10" ht="150" x14ac:dyDescent="0.25">
      <c r="A3015" s="2" t="s">
        <v>12</v>
      </c>
      <c r="B3015" s="2">
        <v>266.00830000000002</v>
      </c>
      <c r="C3015" s="2" t="s">
        <v>5313</v>
      </c>
      <c r="D3015" s="2" t="s">
        <v>5312</v>
      </c>
      <c r="E3015" s="2" t="s">
        <v>46</v>
      </c>
      <c r="F3015" s="3">
        <v>42979</v>
      </c>
      <c r="G3015" s="2" t="str">
        <f>"9781496202376"</f>
        <v>9781496202376</v>
      </c>
      <c r="H3015" s="2" t="s">
        <v>14</v>
      </c>
      <c r="I3015" s="4">
        <v>43605.739583333336</v>
      </c>
      <c r="J3015" s="2" t="s">
        <v>5314</v>
      </c>
    </row>
    <row r="3016" spans="1:10" ht="135" x14ac:dyDescent="0.25">
      <c r="A3016" s="2" t="s">
        <v>12</v>
      </c>
      <c r="B3016" s="2">
        <v>232.95500000000001</v>
      </c>
      <c r="C3016" s="2" t="s">
        <v>1958</v>
      </c>
      <c r="D3016" s="2" t="s">
        <v>1957</v>
      </c>
      <c r="E3016" s="2" t="s">
        <v>817</v>
      </c>
      <c r="F3016" s="3">
        <v>43847</v>
      </c>
      <c r="G3016" s="2" t="str">
        <f>"9783161589379"</f>
        <v>9783161589379</v>
      </c>
      <c r="H3016" s="2" t="s">
        <v>14</v>
      </c>
      <c r="I3016" s="4">
        <v>43920.459027777775</v>
      </c>
      <c r="J3016" s="2" t="s">
        <v>1959</v>
      </c>
    </row>
    <row r="3017" spans="1:10" ht="135" x14ac:dyDescent="0.25">
      <c r="A3017" s="2" t="s">
        <v>12</v>
      </c>
      <c r="B3017" s="2">
        <v>299.51</v>
      </c>
      <c r="C3017" s="2" t="s">
        <v>6501</v>
      </c>
      <c r="D3017" s="2" t="s">
        <v>6500</v>
      </c>
      <c r="E3017" s="2" t="s">
        <v>216</v>
      </c>
      <c r="F3017" s="3">
        <v>43435</v>
      </c>
      <c r="G3017" s="2" t="str">
        <f>"9781438472034"</f>
        <v>9781438472034</v>
      </c>
      <c r="H3017" s="2" t="s">
        <v>14</v>
      </c>
      <c r="I3017" s="4">
        <v>43513.013194444444</v>
      </c>
      <c r="J3017" s="2" t="s">
        <v>6502</v>
      </c>
    </row>
    <row r="3018" spans="1:10" ht="135" x14ac:dyDescent="0.25">
      <c r="A3018" s="2" t="s">
        <v>12</v>
      </c>
      <c r="B3018" s="2">
        <v>294.50954000000002</v>
      </c>
      <c r="C3018" s="2" t="s">
        <v>9345</v>
      </c>
      <c r="D3018" s="2" t="s">
        <v>9344</v>
      </c>
      <c r="E3018" s="2" t="s">
        <v>216</v>
      </c>
      <c r="F3018" s="3">
        <v>42979</v>
      </c>
      <c r="G3018" s="2" t="str">
        <f>"9781438468075"</f>
        <v>9781438468075</v>
      </c>
      <c r="H3018" s="2" t="s">
        <v>14</v>
      </c>
      <c r="I3018" s="4">
        <v>43181.290972222225</v>
      </c>
      <c r="J3018" s="2" t="s">
        <v>9346</v>
      </c>
    </row>
    <row r="3019" spans="1:10" ht="135" x14ac:dyDescent="0.25">
      <c r="A3019" s="2" t="s">
        <v>12</v>
      </c>
      <c r="B3019" s="2" t="s">
        <v>11533</v>
      </c>
      <c r="C3019" s="2" t="s">
        <v>4589</v>
      </c>
      <c r="D3019" s="2" t="s">
        <v>11532</v>
      </c>
      <c r="E3019" s="2" t="s">
        <v>6704</v>
      </c>
      <c r="F3019" s="3">
        <v>41727</v>
      </c>
      <c r="G3019" s="2" t="str">
        <f>"9780801470950"</f>
        <v>9780801470950</v>
      </c>
      <c r="H3019" s="2" t="s">
        <v>14</v>
      </c>
      <c r="I3019" s="4">
        <v>42936.438888888886</v>
      </c>
      <c r="J3019" s="2" t="s">
        <v>11534</v>
      </c>
    </row>
    <row r="3020" spans="1:10" ht="135" x14ac:dyDescent="0.25">
      <c r="A3020" s="2" t="s">
        <v>12</v>
      </c>
      <c r="B3020" s="2" t="s">
        <v>4074</v>
      </c>
      <c r="C3020" s="2" t="s">
        <v>4075</v>
      </c>
      <c r="D3020" s="2" t="s">
        <v>4073</v>
      </c>
      <c r="E3020" s="2" t="s">
        <v>2089</v>
      </c>
      <c r="F3020" s="3">
        <v>42521</v>
      </c>
      <c r="G3020" s="2" t="str">
        <f>"9781575064383"</f>
        <v>9781575064383</v>
      </c>
      <c r="H3020" s="2" t="s">
        <v>14</v>
      </c>
      <c r="I3020" s="4">
        <v>43717.427083333336</v>
      </c>
      <c r="J3020" s="2" t="s">
        <v>4076</v>
      </c>
    </row>
    <row r="3021" spans="1:10" ht="135" x14ac:dyDescent="0.25">
      <c r="A3021" s="2" t="s">
        <v>12</v>
      </c>
      <c r="B3021" s="2" t="s">
        <v>670</v>
      </c>
      <c r="C3021" s="2" t="s">
        <v>12076</v>
      </c>
      <c r="D3021" s="2" t="s">
        <v>12075</v>
      </c>
      <c r="E3021" s="2" t="s">
        <v>2089</v>
      </c>
      <c r="F3021" s="3">
        <v>42522</v>
      </c>
      <c r="G3021" s="2" t="str">
        <f>"9781575064475"</f>
        <v>9781575064475</v>
      </c>
      <c r="H3021" s="2" t="s">
        <v>14</v>
      </c>
      <c r="I3021" s="4">
        <v>42852.439583333333</v>
      </c>
      <c r="J3021" s="2" t="s">
        <v>12077</v>
      </c>
    </row>
    <row r="3022" spans="1:10" ht="135" x14ac:dyDescent="0.25">
      <c r="A3022" s="2" t="s">
        <v>12</v>
      </c>
      <c r="B3022" s="2">
        <v>226.50659999999999</v>
      </c>
      <c r="C3022" s="2" t="s">
        <v>9135</v>
      </c>
      <c r="D3022" s="2" t="s">
        <v>9134</v>
      </c>
      <c r="E3022" s="2" t="s">
        <v>370</v>
      </c>
      <c r="F3022" s="3">
        <v>42522</v>
      </c>
      <c r="G3022" s="2" t="str">
        <f>"9780884141471"</f>
        <v>9780884141471</v>
      </c>
      <c r="H3022" s="2" t="s">
        <v>14</v>
      </c>
      <c r="I3022" s="4">
        <v>43213.709027777775</v>
      </c>
      <c r="J3022" s="2" t="s">
        <v>9136</v>
      </c>
    </row>
    <row r="3023" spans="1:10" ht="135" x14ac:dyDescent="0.25">
      <c r="A3023" s="2" t="s">
        <v>12</v>
      </c>
      <c r="B3023" s="2">
        <v>236.9</v>
      </c>
      <c r="C3023" s="2" t="s">
        <v>558</v>
      </c>
      <c r="D3023" s="2" t="s">
        <v>556</v>
      </c>
      <c r="E3023" s="2" t="s">
        <v>557</v>
      </c>
      <c r="F3023" s="3">
        <v>42497</v>
      </c>
      <c r="G3023" s="2" t="str">
        <f>"9781467445290"</f>
        <v>9781467445290</v>
      </c>
      <c r="H3023" s="2" t="s">
        <v>14</v>
      </c>
      <c r="I3023" s="4">
        <v>44013.791666666664</v>
      </c>
      <c r="J3023" s="2" t="s">
        <v>559</v>
      </c>
    </row>
    <row r="3024" spans="1:10" ht="135" x14ac:dyDescent="0.25">
      <c r="A3024" s="2" t="s">
        <v>12</v>
      </c>
      <c r="B3024" s="2" t="s">
        <v>670</v>
      </c>
      <c r="C3024" s="2" t="s">
        <v>671</v>
      </c>
      <c r="D3024" s="2" t="s">
        <v>668</v>
      </c>
      <c r="E3024" s="2" t="s">
        <v>669</v>
      </c>
      <c r="F3024" s="3">
        <v>35827</v>
      </c>
      <c r="G3024" s="2" t="str">
        <f>"9781441206183"</f>
        <v>9781441206183</v>
      </c>
      <c r="H3024" s="2" t="s">
        <v>14</v>
      </c>
      <c r="I3024" s="4">
        <v>44001.679861111108</v>
      </c>
      <c r="J3024" s="2" t="s">
        <v>672</v>
      </c>
    </row>
    <row r="3025" spans="1:10" ht="135" x14ac:dyDescent="0.25">
      <c r="A3025" s="2" t="s">
        <v>12</v>
      </c>
      <c r="B3025" s="2" t="s">
        <v>10740</v>
      </c>
      <c r="C3025" s="2" t="s">
        <v>10741</v>
      </c>
      <c r="D3025" s="2" t="s">
        <v>10739</v>
      </c>
      <c r="E3025" s="2" t="s">
        <v>2089</v>
      </c>
      <c r="F3025" s="3">
        <v>42644</v>
      </c>
      <c r="G3025" s="2" t="str">
        <f>"9781575064765"</f>
        <v>9781575064765</v>
      </c>
      <c r="H3025" s="2" t="s">
        <v>14</v>
      </c>
      <c r="I3025" s="4">
        <v>43038.848611111112</v>
      </c>
      <c r="J3025" s="2" t="s">
        <v>10742</v>
      </c>
    </row>
    <row r="3026" spans="1:10" ht="150" x14ac:dyDescent="0.25">
      <c r="A3026" s="2" t="s">
        <v>12</v>
      </c>
      <c r="B3026" s="2" t="s">
        <v>9013</v>
      </c>
      <c r="C3026" s="2" t="s">
        <v>9014</v>
      </c>
      <c r="D3026" s="2" t="s">
        <v>9012</v>
      </c>
      <c r="E3026" s="2" t="s">
        <v>54</v>
      </c>
      <c r="F3026" s="3">
        <v>43081</v>
      </c>
      <c r="G3026" s="2" t="str">
        <f>"9781503604230"</f>
        <v>9781503604230</v>
      </c>
      <c r="H3026" s="2" t="s">
        <v>14</v>
      </c>
      <c r="I3026" s="4">
        <v>43227.518055555556</v>
      </c>
      <c r="J3026" s="2" t="s">
        <v>9015</v>
      </c>
    </row>
    <row r="3027" spans="1:10" ht="150" x14ac:dyDescent="0.25">
      <c r="A3027" s="2" t="s">
        <v>12</v>
      </c>
      <c r="B3027" s="2">
        <v>294.34370000000001</v>
      </c>
      <c r="C3027" s="2" t="s">
        <v>5207</v>
      </c>
      <c r="D3027" s="2" t="s">
        <v>11477</v>
      </c>
      <c r="E3027" s="2" t="s">
        <v>856</v>
      </c>
      <c r="F3027" s="3">
        <v>42124</v>
      </c>
      <c r="G3027" s="2" t="str">
        <f>"9780295805795"</f>
        <v>9780295805795</v>
      </c>
      <c r="H3027" s="2" t="s">
        <v>14</v>
      </c>
      <c r="I3027" s="4">
        <v>42951.699305555558</v>
      </c>
      <c r="J3027" s="2" t="s">
        <v>11478</v>
      </c>
    </row>
    <row r="3028" spans="1:10" ht="135" x14ac:dyDescent="0.25">
      <c r="A3028" s="2" t="s">
        <v>12</v>
      </c>
      <c r="B3028" s="2" t="s">
        <v>3234</v>
      </c>
      <c r="C3028" s="2" t="s">
        <v>3235</v>
      </c>
      <c r="D3028" s="2" t="s">
        <v>3233</v>
      </c>
      <c r="E3028" s="2" t="s">
        <v>156</v>
      </c>
      <c r="F3028" s="3">
        <v>43577</v>
      </c>
      <c r="G3028" s="2" t="str">
        <f>"9781469649818"</f>
        <v>9781469649818</v>
      </c>
      <c r="H3028" s="2" t="s">
        <v>14</v>
      </c>
      <c r="I3028" s="4">
        <v>43796.652083333334</v>
      </c>
      <c r="J3028" s="2" t="s">
        <v>3236</v>
      </c>
    </row>
    <row r="3029" spans="1:10" ht="135" x14ac:dyDescent="0.25">
      <c r="A3029" s="2" t="s">
        <v>12</v>
      </c>
      <c r="B3029" s="2">
        <v>221.60943090329999</v>
      </c>
      <c r="C3029" s="2" t="s">
        <v>6699</v>
      </c>
      <c r="D3029" s="2" t="s">
        <v>6698</v>
      </c>
      <c r="E3029" s="2" t="s">
        <v>69</v>
      </c>
      <c r="F3029" s="3">
        <v>43191</v>
      </c>
      <c r="G3029" s="2" t="str">
        <f>"9780253033857"</f>
        <v>9780253033857</v>
      </c>
      <c r="H3029" s="2" t="s">
        <v>14</v>
      </c>
      <c r="I3029" s="4">
        <v>43495.745138888888</v>
      </c>
      <c r="J3029" s="2" t="s">
        <v>6700</v>
      </c>
    </row>
    <row r="3030" spans="1:10" ht="135" x14ac:dyDescent="0.25">
      <c r="A3030" s="2" t="s">
        <v>12</v>
      </c>
      <c r="B3030" s="2" t="s">
        <v>12791</v>
      </c>
      <c r="C3030" s="2" t="s">
        <v>12945</v>
      </c>
      <c r="D3030" s="2" t="s">
        <v>12944</v>
      </c>
      <c r="E3030" s="2" t="s">
        <v>216</v>
      </c>
      <c r="F3030" s="3">
        <v>42278</v>
      </c>
      <c r="G3030" s="2" t="str">
        <f>"9781438458991"</f>
        <v>9781438458991</v>
      </c>
      <c r="H3030" s="2" t="s">
        <v>14</v>
      </c>
      <c r="I3030" s="4">
        <v>42754.474305555559</v>
      </c>
      <c r="J3030" s="2" t="s">
        <v>12946</v>
      </c>
    </row>
    <row r="3031" spans="1:10" ht="135" x14ac:dyDescent="0.25">
      <c r="A3031" s="2" t="s">
        <v>12</v>
      </c>
      <c r="B3031" s="2">
        <v>203.50942000000001</v>
      </c>
      <c r="C3031" s="2" t="s">
        <v>2677</v>
      </c>
      <c r="D3031" s="2" t="s">
        <v>2676</v>
      </c>
      <c r="E3031" s="2" t="s">
        <v>846</v>
      </c>
      <c r="F3031" s="3">
        <v>42741</v>
      </c>
      <c r="G3031" s="2" t="str">
        <f>"9781487511531"</f>
        <v>9781487511531</v>
      </c>
      <c r="H3031" s="2" t="s">
        <v>14</v>
      </c>
      <c r="I3031" s="4">
        <v>43865.973611111112</v>
      </c>
      <c r="J3031" s="2" t="s">
        <v>2678</v>
      </c>
    </row>
    <row r="3032" spans="1:10" ht="135" x14ac:dyDescent="0.25">
      <c r="A3032" s="2" t="s">
        <v>12</v>
      </c>
      <c r="B3032" s="2">
        <v>230.08199999999999</v>
      </c>
      <c r="C3032" s="2" t="s">
        <v>2038</v>
      </c>
      <c r="D3032" s="2" t="s">
        <v>2037</v>
      </c>
      <c r="E3032" s="2" t="s">
        <v>436</v>
      </c>
      <c r="F3032" s="3">
        <v>36708</v>
      </c>
      <c r="G3032" s="2" t="str">
        <f>"9780567273550"</f>
        <v>9780567273550</v>
      </c>
      <c r="H3032" s="2" t="s">
        <v>14</v>
      </c>
      <c r="I3032" s="4">
        <v>43916.6875</v>
      </c>
      <c r="J3032" s="2" t="s">
        <v>2039</v>
      </c>
    </row>
    <row r="3033" spans="1:10" ht="135" x14ac:dyDescent="0.25">
      <c r="A3033" s="2" t="s">
        <v>12</v>
      </c>
      <c r="B3033" s="2">
        <v>289.89999999999998</v>
      </c>
      <c r="C3033" s="2" t="s">
        <v>1790</v>
      </c>
      <c r="D3033" s="2" t="s">
        <v>1789</v>
      </c>
      <c r="E3033" s="2" t="s">
        <v>1184</v>
      </c>
      <c r="F3033" s="3">
        <v>41308</v>
      </c>
      <c r="G3033" s="2" t="str">
        <f>"9780310555667"</f>
        <v>9780310555667</v>
      </c>
      <c r="H3033" s="2" t="s">
        <v>14</v>
      </c>
      <c r="I3033" s="4">
        <v>43927.32916666667</v>
      </c>
      <c r="J3033" s="2" t="s">
        <v>1791</v>
      </c>
    </row>
    <row r="3034" spans="1:10" ht="135" x14ac:dyDescent="0.25">
      <c r="A3034" s="2" t="s">
        <v>12</v>
      </c>
      <c r="B3034" s="2">
        <v>299.16113000000001</v>
      </c>
      <c r="C3034" s="2" t="s">
        <v>8672</v>
      </c>
      <c r="D3034" s="2" t="s">
        <v>8671</v>
      </c>
      <c r="E3034" s="2" t="s">
        <v>705</v>
      </c>
      <c r="F3034" s="3">
        <v>42675</v>
      </c>
      <c r="G3034" s="2" t="str">
        <f>"9781400883325"</f>
        <v>9781400883325</v>
      </c>
      <c r="H3034" s="2" t="s">
        <v>14</v>
      </c>
      <c r="I3034" s="4">
        <v>43270.739583333336</v>
      </c>
      <c r="J3034" s="2" t="s">
        <v>8673</v>
      </c>
    </row>
    <row r="3035" spans="1:10" ht="135" x14ac:dyDescent="0.25">
      <c r="A3035" s="2" t="s">
        <v>12</v>
      </c>
      <c r="B3035" s="2" t="s">
        <v>4331</v>
      </c>
      <c r="C3035" s="2" t="s">
        <v>4332</v>
      </c>
      <c r="D3035" s="2" t="s">
        <v>4330</v>
      </c>
      <c r="E3035" s="2" t="s">
        <v>1434</v>
      </c>
      <c r="F3035" s="3">
        <v>42856</v>
      </c>
      <c r="G3035" s="2" t="str">
        <f>"9789633861646"</f>
        <v>9789633861646</v>
      </c>
      <c r="H3035" s="2" t="s">
        <v>14</v>
      </c>
      <c r="I3035" s="4">
        <v>43681.777777777781</v>
      </c>
      <c r="J3035" s="2" t="s">
        <v>4333</v>
      </c>
    </row>
    <row r="3036" spans="1:10" ht="135" x14ac:dyDescent="0.25">
      <c r="A3036" s="2" t="s">
        <v>12</v>
      </c>
      <c r="B3036" s="2" t="s">
        <v>10677</v>
      </c>
      <c r="C3036" s="2" t="s">
        <v>10678</v>
      </c>
      <c r="D3036" s="2" t="s">
        <v>10676</v>
      </c>
      <c r="E3036" s="2" t="s">
        <v>69</v>
      </c>
      <c r="F3036" s="3">
        <v>42177</v>
      </c>
      <c r="G3036" s="2" t="str">
        <f>"9780253016577"</f>
        <v>9780253016577</v>
      </c>
      <c r="H3036" s="2" t="s">
        <v>14</v>
      </c>
      <c r="I3036" s="4">
        <v>43043.01458333333</v>
      </c>
      <c r="J3036" s="2" t="s">
        <v>10679</v>
      </c>
    </row>
    <row r="3037" spans="1:10" ht="150" x14ac:dyDescent="0.25">
      <c r="A3037" s="2" t="s">
        <v>12</v>
      </c>
      <c r="B3037" s="2">
        <v>297.09032999999999</v>
      </c>
      <c r="C3037" s="2" t="s">
        <v>7749</v>
      </c>
      <c r="D3037" s="2" t="s">
        <v>7748</v>
      </c>
      <c r="E3037" s="2" t="s">
        <v>156</v>
      </c>
      <c r="F3037" s="3">
        <v>43255</v>
      </c>
      <c r="G3037" s="2" t="str">
        <f>"9781469640365"</f>
        <v>9781469640365</v>
      </c>
      <c r="H3037" s="2" t="s">
        <v>14</v>
      </c>
      <c r="I3037" s="4">
        <v>43392.509027777778</v>
      </c>
      <c r="J3037" s="2" t="s">
        <v>7750</v>
      </c>
    </row>
    <row r="3038" spans="1:10" ht="135" x14ac:dyDescent="0.25">
      <c r="A3038" s="2" t="s">
        <v>12</v>
      </c>
      <c r="B3038" s="2">
        <v>297.24650000000003</v>
      </c>
      <c r="C3038" s="2" t="s">
        <v>11098</v>
      </c>
      <c r="D3038" s="2" t="s">
        <v>11097</v>
      </c>
      <c r="E3038" s="2" t="s">
        <v>130</v>
      </c>
      <c r="F3038" s="3">
        <v>41772</v>
      </c>
      <c r="G3038" s="2" t="str">
        <f>"9780813048949"</f>
        <v>9780813048949</v>
      </c>
      <c r="H3038" s="2" t="s">
        <v>14</v>
      </c>
      <c r="I3038" s="4">
        <v>43018.39166666667</v>
      </c>
      <c r="J3038" s="2" t="s">
        <v>11099</v>
      </c>
    </row>
    <row r="3039" spans="1:10" ht="165" x14ac:dyDescent="0.25">
      <c r="A3039" s="2" t="s">
        <v>12</v>
      </c>
      <c r="B3039" s="2" t="s">
        <v>7723</v>
      </c>
      <c r="C3039" s="2" t="s">
        <v>7724</v>
      </c>
      <c r="D3039" s="2" t="s">
        <v>7722</v>
      </c>
      <c r="E3039" s="2" t="s">
        <v>370</v>
      </c>
      <c r="F3039" s="3">
        <v>41942</v>
      </c>
      <c r="G3039" s="2" t="str">
        <f>"9781628370263"</f>
        <v>9781628370263</v>
      </c>
      <c r="H3039" s="2" t="s">
        <v>14</v>
      </c>
      <c r="I3039" s="4">
        <v>43397.352083333331</v>
      </c>
      <c r="J3039" s="2" t="s">
        <v>7725</v>
      </c>
    </row>
    <row r="3040" spans="1:10" ht="180" x14ac:dyDescent="0.25">
      <c r="A3040" s="2" t="s">
        <v>12</v>
      </c>
      <c r="B3040" s="2">
        <v>221.6</v>
      </c>
      <c r="C3040" s="2" t="s">
        <v>6935</v>
      </c>
      <c r="D3040" s="2" t="s">
        <v>6934</v>
      </c>
      <c r="E3040" s="2" t="s">
        <v>2089</v>
      </c>
      <c r="F3040" s="3">
        <v>40787</v>
      </c>
      <c r="G3040" s="2" t="str">
        <f>"9781575066424"</f>
        <v>9781575066424</v>
      </c>
      <c r="H3040" s="2" t="s">
        <v>14</v>
      </c>
      <c r="I3040" s="4">
        <v>43474.461805555555</v>
      </c>
      <c r="J3040" s="2" t="s">
        <v>6936</v>
      </c>
    </row>
    <row r="3041" spans="1:10" ht="135" x14ac:dyDescent="0.25">
      <c r="A3041" s="2" t="s">
        <v>12</v>
      </c>
      <c r="B3041" s="2">
        <v>266.25099999999998</v>
      </c>
      <c r="C3041" s="2" t="s">
        <v>2202</v>
      </c>
      <c r="D3041" s="2" t="s">
        <v>2201</v>
      </c>
      <c r="E3041" s="2" t="s">
        <v>856</v>
      </c>
      <c r="F3041" s="3">
        <v>43461</v>
      </c>
      <c r="G3041" s="2" t="str">
        <f>"9780295743813"</f>
        <v>9780295743813</v>
      </c>
      <c r="H3041" s="2" t="s">
        <v>14</v>
      </c>
      <c r="I3041" s="4">
        <v>43902.553472222222</v>
      </c>
      <c r="J3041" s="2" t="s">
        <v>2203</v>
      </c>
    </row>
    <row r="3042" spans="1:10" ht="165" x14ac:dyDescent="0.25">
      <c r="A3042" s="2" t="s">
        <v>12</v>
      </c>
      <c r="B3042" s="2">
        <v>232</v>
      </c>
      <c r="C3042" s="2" t="s">
        <v>1949</v>
      </c>
      <c r="D3042" s="2" t="s">
        <v>1947</v>
      </c>
      <c r="E3042" s="2" t="s">
        <v>1948</v>
      </c>
      <c r="F3042" s="3">
        <v>39783</v>
      </c>
      <c r="G3042" s="2" t="str">
        <f>"9781842278963"</f>
        <v>9781842278963</v>
      </c>
      <c r="H3042" s="2" t="s">
        <v>14</v>
      </c>
      <c r="I3042" s="4">
        <v>43920.601388888892</v>
      </c>
      <c r="J3042" s="2" t="s">
        <v>1950</v>
      </c>
    </row>
    <row r="3043" spans="1:10" ht="135" x14ac:dyDescent="0.25">
      <c r="A3043" s="2" t="s">
        <v>12</v>
      </c>
      <c r="B3043" s="2" t="s">
        <v>3714</v>
      </c>
      <c r="C3043" s="2" t="s">
        <v>3715</v>
      </c>
      <c r="D3043" s="2" t="s">
        <v>3713</v>
      </c>
      <c r="E3043" s="2" t="s">
        <v>11</v>
      </c>
      <c r="F3043" s="3">
        <v>43160</v>
      </c>
      <c r="G3043" s="2" t="str">
        <f>"9780813230467"</f>
        <v>9780813230467</v>
      </c>
      <c r="H3043" s="2" t="s">
        <v>14</v>
      </c>
      <c r="I3043" s="4">
        <v>43762.585416666669</v>
      </c>
      <c r="J3043" s="2" t="s">
        <v>3716</v>
      </c>
    </row>
    <row r="3044" spans="1:10" ht="135" x14ac:dyDescent="0.25">
      <c r="A3044" s="2" t="s">
        <v>12</v>
      </c>
      <c r="B3044" s="2">
        <v>232.90799999999999</v>
      </c>
      <c r="C3044" s="2" t="s">
        <v>8610</v>
      </c>
      <c r="D3044" s="2" t="s">
        <v>8609</v>
      </c>
      <c r="E3044" s="2" t="s">
        <v>436</v>
      </c>
      <c r="F3044" s="3">
        <v>41151</v>
      </c>
      <c r="G3044" s="2" t="str">
        <f>"9780567062512"</f>
        <v>9780567062512</v>
      </c>
      <c r="H3044" s="2" t="s">
        <v>14</v>
      </c>
      <c r="I3044" s="4">
        <v>43282.754861111112</v>
      </c>
      <c r="J3044" s="2" t="s">
        <v>8611</v>
      </c>
    </row>
    <row r="3045" spans="1:10" ht="135" x14ac:dyDescent="0.25">
      <c r="A3045" s="2" t="s">
        <v>12</v>
      </c>
      <c r="B3045" s="2">
        <v>221.608992401759</v>
      </c>
      <c r="C3045" s="2" t="s">
        <v>1219</v>
      </c>
      <c r="D3045" s="2" t="s">
        <v>1218</v>
      </c>
      <c r="E3045" s="2" t="s">
        <v>370</v>
      </c>
      <c r="F3045" s="3">
        <v>43686</v>
      </c>
      <c r="G3045" s="2" t="str">
        <f>"9780884144045"</f>
        <v>9780884144045</v>
      </c>
      <c r="H3045" s="2" t="s">
        <v>14</v>
      </c>
      <c r="I3045" s="4">
        <v>43955.690972222219</v>
      </c>
      <c r="J3045" s="2" t="s">
        <v>1220</v>
      </c>
    </row>
    <row r="3046" spans="1:10" ht="135" x14ac:dyDescent="0.25">
      <c r="A3046" s="2" t="s">
        <v>12</v>
      </c>
      <c r="B3046" s="2" t="s">
        <v>4202</v>
      </c>
      <c r="C3046" s="2" t="s">
        <v>4203</v>
      </c>
      <c r="D3046" s="2" t="s">
        <v>4201</v>
      </c>
      <c r="E3046" s="2" t="s">
        <v>216</v>
      </c>
      <c r="F3046" s="3">
        <v>42501</v>
      </c>
      <c r="G3046" s="2" t="str">
        <f>"9781438460352"</f>
        <v>9781438460352</v>
      </c>
      <c r="H3046" s="2" t="s">
        <v>14</v>
      </c>
      <c r="I3046" s="4">
        <v>43696.447916666664</v>
      </c>
      <c r="J3046" s="2" t="s">
        <v>4204</v>
      </c>
    </row>
    <row r="3047" spans="1:10" ht="135" x14ac:dyDescent="0.25">
      <c r="A3047" s="2" t="s">
        <v>12</v>
      </c>
      <c r="B3047" s="2" t="s">
        <v>8997</v>
      </c>
      <c r="C3047" s="2" t="s">
        <v>8998</v>
      </c>
      <c r="D3047" s="2" t="s">
        <v>8996</v>
      </c>
      <c r="E3047" s="2" t="s">
        <v>54</v>
      </c>
      <c r="F3047" s="3">
        <v>43060</v>
      </c>
      <c r="G3047" s="2" t="str">
        <f>"9781503603950"</f>
        <v>9781503603950</v>
      </c>
      <c r="H3047" s="2" t="s">
        <v>14</v>
      </c>
      <c r="I3047" s="4">
        <v>43229.368055555555</v>
      </c>
      <c r="J3047" s="2" t="s">
        <v>8999</v>
      </c>
    </row>
    <row r="3048" spans="1:10" ht="135" x14ac:dyDescent="0.25">
      <c r="A3048" s="2" t="s">
        <v>12</v>
      </c>
      <c r="B3048" s="2" t="s">
        <v>3867</v>
      </c>
      <c r="C3048" s="2" t="s">
        <v>3868</v>
      </c>
      <c r="D3048" s="2" t="s">
        <v>3866</v>
      </c>
      <c r="E3048" s="2" t="s">
        <v>2089</v>
      </c>
      <c r="F3048" s="3">
        <v>42278</v>
      </c>
      <c r="G3048" s="2" t="str">
        <f>"9781575064017"</f>
        <v>9781575064017</v>
      </c>
      <c r="H3048" s="2" t="s">
        <v>14</v>
      </c>
      <c r="I3048" s="4">
        <v>43748.487500000003</v>
      </c>
      <c r="J3048" s="2" t="s">
        <v>3869</v>
      </c>
    </row>
    <row r="3049" spans="1:10" ht="135" x14ac:dyDescent="0.25">
      <c r="A3049" s="2" t="s">
        <v>12</v>
      </c>
      <c r="B3049" s="2" t="s">
        <v>893</v>
      </c>
      <c r="C3049" s="2" t="s">
        <v>894</v>
      </c>
      <c r="D3049" s="2" t="s">
        <v>891</v>
      </c>
      <c r="E3049" s="2" t="s">
        <v>892</v>
      </c>
      <c r="F3049" s="3">
        <v>39042</v>
      </c>
      <c r="G3049" s="2" t="str">
        <f>"9781602581135"</f>
        <v>9781602581135</v>
      </c>
      <c r="H3049" s="2" t="s">
        <v>14</v>
      </c>
      <c r="I3049" s="4">
        <v>43976.807638888888</v>
      </c>
      <c r="J3049" s="2" t="s">
        <v>895</v>
      </c>
    </row>
    <row r="3050" spans="1:10" ht="135" x14ac:dyDescent="0.25">
      <c r="A3050" s="2" t="s">
        <v>12</v>
      </c>
      <c r="B3050" s="2" t="s">
        <v>4629</v>
      </c>
      <c r="C3050" s="2" t="s">
        <v>4630</v>
      </c>
      <c r="D3050" s="2" t="s">
        <v>4628</v>
      </c>
      <c r="E3050" s="2" t="s">
        <v>69</v>
      </c>
      <c r="F3050" s="3">
        <v>42555</v>
      </c>
      <c r="G3050" s="2" t="str">
        <f>"9780253021410"</f>
        <v>9780253021410</v>
      </c>
      <c r="H3050" s="2" t="s">
        <v>14</v>
      </c>
      <c r="I3050" s="4">
        <v>43644.417361111111</v>
      </c>
      <c r="J3050" s="2" t="s">
        <v>4631</v>
      </c>
    </row>
    <row r="3051" spans="1:10" ht="135" x14ac:dyDescent="0.25">
      <c r="A3051" s="2" t="s">
        <v>12</v>
      </c>
      <c r="B3051" s="2">
        <v>296.09730000000002</v>
      </c>
      <c r="C3051" s="2" t="s">
        <v>7562</v>
      </c>
      <c r="D3051" s="2" t="s">
        <v>7561</v>
      </c>
      <c r="E3051" s="2" t="s">
        <v>54</v>
      </c>
      <c r="F3051" s="3">
        <v>41794</v>
      </c>
      <c r="G3051" s="2" t="str">
        <f>"9780804791410"</f>
        <v>9780804791410</v>
      </c>
      <c r="H3051" s="2" t="s">
        <v>14</v>
      </c>
      <c r="I3051" s="4">
        <v>43408.818749999999</v>
      </c>
      <c r="J3051" s="2" t="s">
        <v>7563</v>
      </c>
    </row>
    <row r="3052" spans="1:10" ht="135" x14ac:dyDescent="0.25">
      <c r="A3052" s="2" t="s">
        <v>12</v>
      </c>
      <c r="B3052" s="2">
        <v>296</v>
      </c>
      <c r="D3052" s="2" t="s">
        <v>6273</v>
      </c>
      <c r="E3052" s="2" t="s">
        <v>846</v>
      </c>
      <c r="F3052" s="3">
        <v>41976</v>
      </c>
      <c r="G3052" s="2" t="str">
        <f>"9781442616868"</f>
        <v>9781442616868</v>
      </c>
      <c r="H3052" s="2" t="s">
        <v>14</v>
      </c>
      <c r="I3052" s="4">
        <v>43528.489583333336</v>
      </c>
      <c r="J3052" s="2" t="s">
        <v>6274</v>
      </c>
    </row>
    <row r="3053" spans="1:10" ht="135" x14ac:dyDescent="0.25">
      <c r="A3053" s="2" t="s">
        <v>12</v>
      </c>
      <c r="B3053" s="2">
        <v>273</v>
      </c>
      <c r="C3053" s="2" t="s">
        <v>1185</v>
      </c>
      <c r="D3053" s="2" t="s">
        <v>1183</v>
      </c>
      <c r="E3053" s="2" t="s">
        <v>1184</v>
      </c>
      <c r="F3053" s="3">
        <v>41758</v>
      </c>
      <c r="G3053" s="2" t="str">
        <f>"9780310515081"</f>
        <v>9780310515081</v>
      </c>
      <c r="H3053" s="2" t="s">
        <v>14</v>
      </c>
      <c r="I3053" s="4">
        <v>43957.435416666667</v>
      </c>
      <c r="J3053" s="2" t="s">
        <v>1186</v>
      </c>
    </row>
    <row r="3054" spans="1:10" ht="150" x14ac:dyDescent="0.25">
      <c r="A3054" s="2" t="s">
        <v>12</v>
      </c>
      <c r="B3054" s="2" t="s">
        <v>11542</v>
      </c>
      <c r="C3054" s="2" t="s">
        <v>11543</v>
      </c>
      <c r="D3054" s="2" t="s">
        <v>11541</v>
      </c>
      <c r="E3054" s="2" t="s">
        <v>11</v>
      </c>
      <c r="F3054" s="3">
        <v>38139</v>
      </c>
      <c r="G3054" s="2" t="str">
        <f>"9780813215945"</f>
        <v>9780813215945</v>
      </c>
      <c r="H3054" s="2" t="s">
        <v>14</v>
      </c>
      <c r="I3054" s="4">
        <v>42935.454861111109</v>
      </c>
      <c r="J3054" s="2" t="s">
        <v>11544</v>
      </c>
    </row>
    <row r="3055" spans="1:10" ht="135" x14ac:dyDescent="0.25">
      <c r="A3055" s="2" t="s">
        <v>12</v>
      </c>
      <c r="B3055" s="2" t="s">
        <v>10259</v>
      </c>
      <c r="C3055" s="2" t="s">
        <v>10260</v>
      </c>
      <c r="D3055" s="2" t="s">
        <v>10258</v>
      </c>
      <c r="E3055" s="2" t="s">
        <v>216</v>
      </c>
      <c r="F3055" s="3">
        <v>42675</v>
      </c>
      <c r="G3055" s="2" t="str">
        <f>"9781438462776"</f>
        <v>9781438462776</v>
      </c>
      <c r="H3055" s="2" t="s">
        <v>14</v>
      </c>
      <c r="I3055" s="4">
        <v>43075.457638888889</v>
      </c>
      <c r="J3055" s="2" t="s">
        <v>10261</v>
      </c>
    </row>
    <row r="3056" spans="1:10" ht="135" x14ac:dyDescent="0.25">
      <c r="A3056" s="2" t="s">
        <v>12</v>
      </c>
      <c r="B3056" s="2">
        <v>282.09199999999998</v>
      </c>
      <c r="C3056" s="2" t="s">
        <v>13</v>
      </c>
      <c r="D3056" s="2" t="s">
        <v>8982</v>
      </c>
      <c r="E3056" s="2" t="s">
        <v>11</v>
      </c>
      <c r="F3056" s="3">
        <v>38169</v>
      </c>
      <c r="G3056" s="2" t="str">
        <f>"9780813216010"</f>
        <v>9780813216010</v>
      </c>
      <c r="H3056" s="2" t="s">
        <v>14</v>
      </c>
      <c r="I3056" s="4">
        <v>43230.24722222222</v>
      </c>
      <c r="J3056" s="2" t="s">
        <v>8983</v>
      </c>
    </row>
    <row r="3057" spans="1:10" ht="135" x14ac:dyDescent="0.25">
      <c r="A3057" s="2" t="s">
        <v>12</v>
      </c>
      <c r="B3057" s="2" t="s">
        <v>2473</v>
      </c>
      <c r="C3057" s="2" t="s">
        <v>2474</v>
      </c>
      <c r="D3057" s="2" t="s">
        <v>2472</v>
      </c>
      <c r="E3057" s="2" t="s">
        <v>216</v>
      </c>
      <c r="F3057" s="3">
        <v>43709</v>
      </c>
      <c r="G3057" s="2" t="str">
        <f>"9781438475745"</f>
        <v>9781438475745</v>
      </c>
      <c r="H3057" s="2" t="s">
        <v>14</v>
      </c>
      <c r="I3057" s="4">
        <v>43882.773611111108</v>
      </c>
      <c r="J3057" s="2" t="s">
        <v>2475</v>
      </c>
    </row>
    <row r="3058" spans="1:10" ht="135" x14ac:dyDescent="0.25">
      <c r="A3058" s="2" t="s">
        <v>12</v>
      </c>
      <c r="B3058" s="2">
        <v>230.20920000000001</v>
      </c>
      <c r="C3058" s="2" t="s">
        <v>7538</v>
      </c>
      <c r="D3058" s="2" t="s">
        <v>7537</v>
      </c>
      <c r="E3058" s="2" t="s">
        <v>674</v>
      </c>
      <c r="F3058" s="3">
        <v>42339</v>
      </c>
      <c r="G3058" s="2" t="str">
        <f>"9780823268559"</f>
        <v>9780823268559</v>
      </c>
      <c r="H3058" s="2" t="s">
        <v>14</v>
      </c>
      <c r="I3058" s="4">
        <v>43409.897916666669</v>
      </c>
      <c r="J3058" s="2" t="s">
        <v>7539</v>
      </c>
    </row>
    <row r="3059" spans="1:10" ht="135" x14ac:dyDescent="0.25">
      <c r="A3059" s="2" t="s">
        <v>12</v>
      </c>
      <c r="B3059" s="2">
        <v>222.506</v>
      </c>
      <c r="C3059" s="2" t="s">
        <v>2758</v>
      </c>
      <c r="D3059" s="2" t="s">
        <v>2757</v>
      </c>
      <c r="E3059" s="2" t="s">
        <v>370</v>
      </c>
      <c r="F3059" s="3">
        <v>42736</v>
      </c>
      <c r="G3059" s="2" t="str">
        <f>"9780884142119"</f>
        <v>9780884142119</v>
      </c>
      <c r="H3059" s="2" t="s">
        <v>14</v>
      </c>
      <c r="I3059" s="4">
        <v>43858.960416666669</v>
      </c>
      <c r="J3059" s="2" t="s">
        <v>2759</v>
      </c>
    </row>
    <row r="3060" spans="1:10" ht="135" x14ac:dyDescent="0.25">
      <c r="A3060" s="2" t="s">
        <v>12</v>
      </c>
      <c r="B3060" s="2">
        <v>226.40600000000001</v>
      </c>
      <c r="C3060" s="2" t="s">
        <v>3531</v>
      </c>
      <c r="D3060" s="2" t="s">
        <v>3530</v>
      </c>
      <c r="E3060" s="2" t="s">
        <v>2089</v>
      </c>
      <c r="F3060" s="3">
        <v>41183</v>
      </c>
      <c r="G3060" s="2" t="str">
        <f>"9781575066868"</f>
        <v>9781575066868</v>
      </c>
      <c r="H3060" s="2" t="s">
        <v>14</v>
      </c>
      <c r="I3060" s="4">
        <v>43777.425000000003</v>
      </c>
      <c r="J3060" s="2" t="s">
        <v>3532</v>
      </c>
    </row>
    <row r="3061" spans="1:10" ht="165" x14ac:dyDescent="0.25">
      <c r="A3061" s="2" t="s">
        <v>12</v>
      </c>
      <c r="B3061" s="2">
        <v>261.80882828</v>
      </c>
      <c r="C3061" s="2" t="s">
        <v>11409</v>
      </c>
      <c r="D3061" s="2" t="s">
        <v>11408</v>
      </c>
      <c r="E3061" s="2" t="s">
        <v>11</v>
      </c>
      <c r="F3061" s="3">
        <v>42440</v>
      </c>
      <c r="G3061" s="2" t="str">
        <f>"9780813227924"</f>
        <v>9780813227924</v>
      </c>
      <c r="H3061" s="2" t="s">
        <v>14</v>
      </c>
      <c r="I3061" s="4">
        <v>42975.59652777778</v>
      </c>
      <c r="J3061" s="2" t="s">
        <v>11410</v>
      </c>
    </row>
    <row r="3062" spans="1:10" ht="180" x14ac:dyDescent="0.25">
      <c r="A3062" s="2" t="s">
        <v>12</v>
      </c>
      <c r="B3062" s="2">
        <v>289.94096669999999</v>
      </c>
      <c r="C3062" s="2" t="s">
        <v>11363</v>
      </c>
      <c r="D3062" s="2" t="s">
        <v>11362</v>
      </c>
      <c r="E3062" s="2" t="s">
        <v>846</v>
      </c>
      <c r="F3062" s="3">
        <v>42061</v>
      </c>
      <c r="G3062" s="2" t="str">
        <f>"9781442619586"</f>
        <v>9781442619586</v>
      </c>
      <c r="H3062" s="2" t="s">
        <v>14</v>
      </c>
      <c r="I3062" s="4">
        <v>42983.546527777777</v>
      </c>
      <c r="J3062" s="2" t="s">
        <v>11364</v>
      </c>
    </row>
    <row r="3063" spans="1:10" ht="135" x14ac:dyDescent="0.25">
      <c r="A3063" s="2" t="s">
        <v>12</v>
      </c>
      <c r="B3063" s="2" t="s">
        <v>11253</v>
      </c>
      <c r="C3063" s="2" t="s">
        <v>11254</v>
      </c>
      <c r="D3063" s="2" t="s">
        <v>11252</v>
      </c>
      <c r="E3063" s="2" t="s">
        <v>499</v>
      </c>
      <c r="F3063" s="3">
        <v>42719</v>
      </c>
      <c r="G3063" s="2" t="str">
        <f>"9781626163683"</f>
        <v>9781626163683</v>
      </c>
      <c r="H3063" s="2" t="s">
        <v>14</v>
      </c>
      <c r="I3063" s="4">
        <v>42998.59652777778</v>
      </c>
      <c r="J3063" s="2" t="s">
        <v>11255</v>
      </c>
    </row>
    <row r="3064" spans="1:10" ht="150" x14ac:dyDescent="0.25">
      <c r="A3064" s="2" t="s">
        <v>12</v>
      </c>
      <c r="B3064" s="2">
        <v>270.10000000000002</v>
      </c>
      <c r="C3064" s="2" t="s">
        <v>4861</v>
      </c>
      <c r="D3064" s="2" t="s">
        <v>4860</v>
      </c>
      <c r="E3064" s="2" t="s">
        <v>2089</v>
      </c>
      <c r="F3064" s="3">
        <v>41244</v>
      </c>
      <c r="G3064" s="2" t="str">
        <f>"9781575066912"</f>
        <v>9781575066912</v>
      </c>
      <c r="H3064" s="2" t="s">
        <v>14</v>
      </c>
      <c r="I3064" s="4">
        <v>43620.738194444442</v>
      </c>
      <c r="J3064" s="2" t="s">
        <v>4862</v>
      </c>
    </row>
    <row r="3065" spans="1:10" ht="135" x14ac:dyDescent="0.25">
      <c r="A3065" s="2" t="s">
        <v>12</v>
      </c>
      <c r="B3065" s="2" t="s">
        <v>3220</v>
      </c>
      <c r="C3065" s="2" t="s">
        <v>3221</v>
      </c>
      <c r="D3065" s="2" t="s">
        <v>3219</v>
      </c>
      <c r="E3065" s="2" t="s">
        <v>216</v>
      </c>
      <c r="F3065" s="3">
        <v>43525</v>
      </c>
      <c r="G3065" s="2" t="str">
        <f>"9781438473239"</f>
        <v>9781438473239</v>
      </c>
      <c r="H3065" s="2" t="s">
        <v>14</v>
      </c>
      <c r="I3065" s="4">
        <v>43797.55972222222</v>
      </c>
      <c r="J3065" s="2" t="s">
        <v>3222</v>
      </c>
    </row>
    <row r="3066" spans="1:10" ht="135" x14ac:dyDescent="0.25">
      <c r="A3066" s="2" t="s">
        <v>12</v>
      </c>
      <c r="B3066" s="2">
        <v>296.08110972999998</v>
      </c>
      <c r="C3066" s="2" t="s">
        <v>4786</v>
      </c>
      <c r="D3066" s="2" t="s">
        <v>4785</v>
      </c>
      <c r="E3066" s="2" t="s">
        <v>69</v>
      </c>
      <c r="F3066" s="3">
        <v>42807</v>
      </c>
      <c r="G3066" s="2" t="str">
        <f>"9780253026361"</f>
        <v>9780253026361</v>
      </c>
      <c r="H3066" s="2" t="s">
        <v>14</v>
      </c>
      <c r="I3066" s="4">
        <v>43626.455555555556</v>
      </c>
      <c r="J3066" s="2" t="s">
        <v>4787</v>
      </c>
    </row>
    <row r="3067" spans="1:10" ht="150" x14ac:dyDescent="0.25">
      <c r="A3067" s="2" t="s">
        <v>12</v>
      </c>
      <c r="B3067" s="2">
        <v>277.08199999999999</v>
      </c>
      <c r="C3067" s="2" t="s">
        <v>12546</v>
      </c>
      <c r="D3067" s="2" t="s">
        <v>12545</v>
      </c>
      <c r="E3067" s="2" t="s">
        <v>156</v>
      </c>
      <c r="F3067" s="3">
        <v>42303</v>
      </c>
      <c r="G3067" s="2" t="str">
        <f>"9781469624082"</f>
        <v>9781469624082</v>
      </c>
      <c r="H3067" s="2" t="s">
        <v>14</v>
      </c>
      <c r="I3067" s="4">
        <v>42796.563194444447</v>
      </c>
      <c r="J3067" s="2" t="s">
        <v>12547</v>
      </c>
    </row>
    <row r="3068" spans="1:10" ht="135" x14ac:dyDescent="0.25">
      <c r="A3068" s="2" t="s">
        <v>12</v>
      </c>
      <c r="B3068" s="2">
        <v>220.81523999999899</v>
      </c>
      <c r="C3068" s="2" t="s">
        <v>2704</v>
      </c>
      <c r="D3068" s="2" t="s">
        <v>2703</v>
      </c>
      <c r="E3068" s="2" t="s">
        <v>370</v>
      </c>
      <c r="F3068" s="3">
        <v>42985</v>
      </c>
      <c r="G3068" s="2" t="str">
        <f>"9780884142560"</f>
        <v>9780884142560</v>
      </c>
      <c r="H3068" s="2" t="s">
        <v>14</v>
      </c>
      <c r="I3068" s="4">
        <v>43863.650694444441</v>
      </c>
      <c r="J3068" s="2" t="s">
        <v>2705</v>
      </c>
    </row>
    <row r="3069" spans="1:10" ht="135" x14ac:dyDescent="0.25">
      <c r="A3069" s="2" t="s">
        <v>12</v>
      </c>
      <c r="B3069" s="2">
        <v>297.40962400000001</v>
      </c>
      <c r="C3069" s="2" t="s">
        <v>4243</v>
      </c>
      <c r="D3069" s="2" t="s">
        <v>4242</v>
      </c>
      <c r="E3069" s="2" t="s">
        <v>256</v>
      </c>
      <c r="F3069" s="3">
        <v>42669</v>
      </c>
      <c r="G3069" s="2" t="str">
        <f>"9780821445778"</f>
        <v>9780821445778</v>
      </c>
      <c r="H3069" s="2" t="s">
        <v>14</v>
      </c>
      <c r="I3069" s="4">
        <v>43690.345138888886</v>
      </c>
      <c r="J3069" s="2" t="s">
        <v>4244</v>
      </c>
    </row>
    <row r="3070" spans="1:10" ht="135" x14ac:dyDescent="0.25">
      <c r="A3070" s="2" t="s">
        <v>12</v>
      </c>
      <c r="B3070" s="2" t="s">
        <v>4460</v>
      </c>
      <c r="C3070" s="2" t="s">
        <v>4461</v>
      </c>
      <c r="D3070" s="2" t="s">
        <v>4459</v>
      </c>
      <c r="E3070" s="2" t="s">
        <v>11</v>
      </c>
      <c r="F3070" s="3">
        <v>40092</v>
      </c>
      <c r="G3070" s="2" t="str">
        <f>"9780813217802"</f>
        <v>9780813217802</v>
      </c>
      <c r="H3070" s="2" t="s">
        <v>14</v>
      </c>
      <c r="I3070" s="4">
        <v>43665.284722222219</v>
      </c>
      <c r="J3070" s="2" t="s">
        <v>4462</v>
      </c>
    </row>
    <row r="3071" spans="1:10" ht="135" x14ac:dyDescent="0.25">
      <c r="A3071" s="2" t="s">
        <v>12</v>
      </c>
      <c r="B3071" s="2">
        <v>297.21100000000001</v>
      </c>
      <c r="C3071" s="2" t="s">
        <v>2582</v>
      </c>
      <c r="D3071" s="2" t="s">
        <v>2581</v>
      </c>
      <c r="E3071" s="2" t="s">
        <v>499</v>
      </c>
      <c r="F3071" s="3">
        <v>43252</v>
      </c>
      <c r="G3071" s="2" t="str">
        <f>"9781626165854"</f>
        <v>9781626165854</v>
      </c>
      <c r="H3071" s="2" t="s">
        <v>14</v>
      </c>
      <c r="I3071" s="4">
        <v>43874.788888888892</v>
      </c>
      <c r="J3071" s="2" t="s">
        <v>2583</v>
      </c>
    </row>
    <row r="3072" spans="1:10" ht="135" x14ac:dyDescent="0.25">
      <c r="A3072" s="2" t="s">
        <v>12</v>
      </c>
      <c r="B3072" s="2" t="s">
        <v>5029</v>
      </c>
      <c r="C3072" s="2" t="s">
        <v>5030</v>
      </c>
      <c r="D3072" s="2" t="s">
        <v>5028</v>
      </c>
      <c r="E3072" s="2" t="s">
        <v>11</v>
      </c>
      <c r="F3072" s="3">
        <v>41912</v>
      </c>
      <c r="G3072" s="2" t="str">
        <f>"9780813227009"</f>
        <v>9780813227009</v>
      </c>
      <c r="H3072" s="2" t="s">
        <v>14</v>
      </c>
      <c r="I3072" s="4">
        <v>43611.757638888892</v>
      </c>
      <c r="J3072" s="2" t="s">
        <v>5031</v>
      </c>
    </row>
    <row r="3073" spans="1:10" ht="135" x14ac:dyDescent="0.25">
      <c r="A3073" s="2" t="s">
        <v>12</v>
      </c>
      <c r="B3073" s="2">
        <v>296.3</v>
      </c>
      <c r="C3073" s="2" t="s">
        <v>10289</v>
      </c>
      <c r="D3073" s="2" t="s">
        <v>10288</v>
      </c>
      <c r="E3073" s="2" t="s">
        <v>69</v>
      </c>
      <c r="F3073" s="3">
        <v>42793</v>
      </c>
      <c r="G3073" s="2" t="str">
        <f>"9780253025043"</f>
        <v>9780253025043</v>
      </c>
      <c r="H3073" s="2" t="s">
        <v>14</v>
      </c>
      <c r="I3073" s="4">
        <v>43073.650694444441</v>
      </c>
      <c r="J3073" s="2" t="s">
        <v>10290</v>
      </c>
    </row>
    <row r="3074" spans="1:10" ht="135" x14ac:dyDescent="0.25">
      <c r="A3074" s="2" t="s">
        <v>12</v>
      </c>
      <c r="B3074" s="2">
        <v>222.70599999999999</v>
      </c>
      <c r="C3074" s="2" t="s">
        <v>405</v>
      </c>
      <c r="D3074" s="2" t="s">
        <v>404</v>
      </c>
      <c r="E3074" s="2" t="s">
        <v>370</v>
      </c>
      <c r="F3074" s="3">
        <v>42461</v>
      </c>
      <c r="G3074" s="2" t="str">
        <f>"9780884141631"</f>
        <v>9780884141631</v>
      </c>
      <c r="H3074" s="2" t="s">
        <v>14</v>
      </c>
      <c r="I3074" s="4">
        <v>44026.412499999999</v>
      </c>
      <c r="J3074" s="2" t="s">
        <v>406</v>
      </c>
    </row>
    <row r="3075" spans="1:10" ht="180" x14ac:dyDescent="0.25">
      <c r="A3075" s="2" t="s">
        <v>12</v>
      </c>
      <c r="B3075" s="2" t="s">
        <v>12552</v>
      </c>
      <c r="C3075" s="2" t="s">
        <v>12553</v>
      </c>
      <c r="D3075" s="2" t="s">
        <v>12551</v>
      </c>
      <c r="E3075" s="2" t="s">
        <v>130</v>
      </c>
      <c r="F3075" s="3">
        <v>42416</v>
      </c>
      <c r="G3075" s="2" t="str">
        <f>"9780813055749"</f>
        <v>9780813055749</v>
      </c>
      <c r="H3075" s="2" t="s">
        <v>14</v>
      </c>
      <c r="I3075" s="4">
        <v>42796.479166666664</v>
      </c>
      <c r="J3075" s="2" t="s">
        <v>12554</v>
      </c>
    </row>
    <row r="3076" spans="1:10" ht="135" x14ac:dyDescent="0.25">
      <c r="A3076" s="2" t="s">
        <v>12</v>
      </c>
      <c r="B3076" s="2">
        <v>201.50959</v>
      </c>
      <c r="C3076" s="2" t="s">
        <v>1632</v>
      </c>
      <c r="D3076" s="2" t="s">
        <v>4260</v>
      </c>
      <c r="E3076" s="2" t="s">
        <v>152</v>
      </c>
      <c r="F3076" s="3">
        <v>42748</v>
      </c>
      <c r="G3076" s="2" t="str">
        <f>"9789811029691"</f>
        <v>9789811029691</v>
      </c>
      <c r="H3076" s="2" t="s">
        <v>14</v>
      </c>
      <c r="I3076" s="4">
        <v>43689.375</v>
      </c>
      <c r="J3076" s="2" t="s">
        <v>4261</v>
      </c>
    </row>
    <row r="3077" spans="1:10" ht="135" x14ac:dyDescent="0.25">
      <c r="A3077" s="2" t="s">
        <v>12</v>
      </c>
      <c r="B3077" s="2">
        <v>220.601</v>
      </c>
      <c r="C3077" s="2" t="s">
        <v>10889</v>
      </c>
      <c r="D3077" s="2" t="s">
        <v>10888</v>
      </c>
      <c r="E3077" s="2" t="s">
        <v>69</v>
      </c>
      <c r="F3077" s="3">
        <v>41772</v>
      </c>
      <c r="G3077" s="2" t="str">
        <f>"9780253012623"</f>
        <v>9780253012623</v>
      </c>
      <c r="H3077" s="2" t="s">
        <v>14</v>
      </c>
      <c r="I3077" s="4">
        <v>43030.800694444442</v>
      </c>
      <c r="J3077" s="2" t="s">
        <v>10890</v>
      </c>
    </row>
    <row r="3078" spans="1:10" ht="135" x14ac:dyDescent="0.25">
      <c r="A3078" s="2" t="s">
        <v>12</v>
      </c>
      <c r="B3078" s="2">
        <v>271.97301712460001</v>
      </c>
      <c r="C3078" s="2" t="s">
        <v>8308</v>
      </c>
      <c r="D3078" s="2" t="s">
        <v>8307</v>
      </c>
      <c r="E3078" s="2" t="s">
        <v>164</v>
      </c>
      <c r="F3078" s="3">
        <v>43040</v>
      </c>
      <c r="G3078" s="2" t="str">
        <f>"9780826358950"</f>
        <v>9780826358950</v>
      </c>
      <c r="H3078" s="2" t="s">
        <v>14</v>
      </c>
      <c r="I3078" s="4">
        <v>43323.740277777775</v>
      </c>
      <c r="J3078" s="2" t="s">
        <v>8309</v>
      </c>
    </row>
    <row r="3079" spans="1:10" ht="135" x14ac:dyDescent="0.25">
      <c r="A3079" s="2" t="s">
        <v>12</v>
      </c>
      <c r="B3079" s="2">
        <v>261.85000000000002</v>
      </c>
      <c r="D3079" s="2" t="s">
        <v>4711</v>
      </c>
      <c r="E3079" s="2" t="s">
        <v>846</v>
      </c>
      <c r="F3079" s="3">
        <v>41765</v>
      </c>
      <c r="G3079" s="2" t="str">
        <f>"9781442617193"</f>
        <v>9781442617193</v>
      </c>
      <c r="H3079" s="2" t="s">
        <v>14</v>
      </c>
      <c r="I3079" s="4">
        <v>43635.540277777778</v>
      </c>
      <c r="J3079" s="2" t="s">
        <v>4712</v>
      </c>
    </row>
    <row r="3080" spans="1:10" ht="135" x14ac:dyDescent="0.25">
      <c r="A3080" s="2" t="s">
        <v>12</v>
      </c>
      <c r="B3080" s="2">
        <v>220.6</v>
      </c>
      <c r="C3080" s="2" t="s">
        <v>998</v>
      </c>
      <c r="D3080" s="2" t="s">
        <v>8359</v>
      </c>
      <c r="E3080" s="2" t="s">
        <v>11</v>
      </c>
      <c r="F3080" s="3">
        <v>43191</v>
      </c>
      <c r="G3080" s="2" t="str">
        <f>"9780813230320"</f>
        <v>9780813230320</v>
      </c>
      <c r="H3080" s="2" t="s">
        <v>14</v>
      </c>
      <c r="I3080" s="4">
        <v>43316.595833333333</v>
      </c>
      <c r="J3080" s="2" t="s">
        <v>8360</v>
      </c>
    </row>
    <row r="3081" spans="1:10" ht="165" x14ac:dyDescent="0.25">
      <c r="A3081" s="2" t="s">
        <v>12</v>
      </c>
      <c r="B3081" s="2">
        <v>200.9015</v>
      </c>
      <c r="C3081" s="2" t="s">
        <v>5024</v>
      </c>
      <c r="D3081" s="2" t="s">
        <v>5023</v>
      </c>
      <c r="E3081" s="2" t="s">
        <v>1434</v>
      </c>
      <c r="F3081" s="3">
        <v>43146</v>
      </c>
      <c r="G3081" s="2" t="str">
        <f>"9789633862568"</f>
        <v>9789633862568</v>
      </c>
      <c r="H3081" s="2" t="s">
        <v>14</v>
      </c>
      <c r="I3081" s="4">
        <v>43612.352777777778</v>
      </c>
      <c r="J3081" s="2" t="s">
        <v>5025</v>
      </c>
    </row>
    <row r="3082" spans="1:10" ht="165" x14ac:dyDescent="0.25">
      <c r="A3082" s="2" t="s">
        <v>12</v>
      </c>
      <c r="B3082" s="2" t="s">
        <v>2285</v>
      </c>
      <c r="D3082" s="2" t="s">
        <v>2284</v>
      </c>
      <c r="E3082" s="2" t="s">
        <v>216</v>
      </c>
      <c r="F3082" s="3">
        <v>43497</v>
      </c>
      <c r="G3082" s="2" t="str">
        <f>"9781438472874"</f>
        <v>9781438472874</v>
      </c>
      <c r="H3082" s="2" t="s">
        <v>14</v>
      </c>
      <c r="I3082" s="4">
        <v>43895.883333333331</v>
      </c>
      <c r="J3082" s="2" t="s">
        <v>2286</v>
      </c>
    </row>
    <row r="3083" spans="1:10" ht="135" x14ac:dyDescent="0.25">
      <c r="A3083" s="2" t="s">
        <v>12</v>
      </c>
      <c r="B3083" s="2">
        <v>299.31</v>
      </c>
      <c r="C3083" s="2" t="s">
        <v>927</v>
      </c>
      <c r="D3083" s="2" t="s">
        <v>926</v>
      </c>
      <c r="E3083" s="2" t="s">
        <v>561</v>
      </c>
      <c r="F3083" s="3">
        <v>43738</v>
      </c>
      <c r="G3083" s="2" t="str">
        <f>"9789088907944"</f>
        <v>9789088907944</v>
      </c>
      <c r="H3083" s="2" t="s">
        <v>14</v>
      </c>
      <c r="I3083" s="4">
        <v>43975.397222222222</v>
      </c>
      <c r="J3083" s="2" t="s">
        <v>928</v>
      </c>
    </row>
    <row r="3084" spans="1:10" ht="135" x14ac:dyDescent="0.25">
      <c r="A3084" s="2" t="s">
        <v>12</v>
      </c>
      <c r="B3084" s="2">
        <v>282.09199999999998</v>
      </c>
      <c r="C3084" s="2" t="s">
        <v>8579</v>
      </c>
      <c r="D3084" s="2" t="s">
        <v>8578</v>
      </c>
      <c r="E3084" s="2" t="s">
        <v>11</v>
      </c>
      <c r="F3084" s="3">
        <v>41968</v>
      </c>
      <c r="G3084" s="2" t="str">
        <f>"9780813226828"</f>
        <v>9780813226828</v>
      </c>
      <c r="H3084" s="2" t="s">
        <v>14</v>
      </c>
      <c r="I3084" s="4">
        <v>43285.683333333334</v>
      </c>
      <c r="J3084" s="2" t="s">
        <v>8580</v>
      </c>
    </row>
    <row r="3085" spans="1:10" ht="135" x14ac:dyDescent="0.25">
      <c r="A3085" s="2" t="s">
        <v>12</v>
      </c>
      <c r="B3085" s="2">
        <v>261.85000000000002</v>
      </c>
      <c r="C3085" s="2" t="s">
        <v>11646</v>
      </c>
      <c r="D3085" s="2" t="s">
        <v>11645</v>
      </c>
      <c r="E3085" s="2" t="s">
        <v>1036</v>
      </c>
      <c r="F3085" s="3">
        <v>42459</v>
      </c>
      <c r="G3085" s="2" t="str">
        <f>"9781498202183"</f>
        <v>9781498202183</v>
      </c>
      <c r="H3085" s="2" t="s">
        <v>14</v>
      </c>
      <c r="I3085" s="4">
        <v>42916.686805555553</v>
      </c>
      <c r="J3085" s="2" t="s">
        <v>11647</v>
      </c>
    </row>
    <row r="3086" spans="1:10" ht="135" x14ac:dyDescent="0.25">
      <c r="A3086" s="2" t="s">
        <v>12</v>
      </c>
      <c r="B3086" s="2">
        <v>281.89999999999998</v>
      </c>
      <c r="C3086" s="2" t="s">
        <v>3690</v>
      </c>
      <c r="D3086" s="2" t="s">
        <v>3689</v>
      </c>
      <c r="E3086" s="2" t="s">
        <v>69</v>
      </c>
      <c r="F3086" s="3">
        <v>43084</v>
      </c>
      <c r="G3086" s="2" t="str">
        <f>"9780253031679"</f>
        <v>9780253031679</v>
      </c>
      <c r="H3086" s="2" t="s">
        <v>14</v>
      </c>
      <c r="I3086" s="4">
        <v>43766.470833333333</v>
      </c>
      <c r="J3086" s="2" t="s">
        <v>3691</v>
      </c>
    </row>
    <row r="3087" spans="1:10" ht="135" x14ac:dyDescent="0.25">
      <c r="A3087" s="2" t="s">
        <v>12</v>
      </c>
      <c r="B3087" s="2" t="s">
        <v>1427</v>
      </c>
      <c r="C3087" s="2" t="s">
        <v>1428</v>
      </c>
      <c r="D3087" s="2" t="s">
        <v>1426</v>
      </c>
      <c r="E3087" s="2" t="s">
        <v>156</v>
      </c>
      <c r="F3087" s="3">
        <v>41942</v>
      </c>
      <c r="G3087" s="2" t="str">
        <f>"9781469617749"</f>
        <v>9781469617749</v>
      </c>
      <c r="H3087" s="2" t="s">
        <v>14</v>
      </c>
      <c r="I3087" s="4">
        <v>43943.685416666667</v>
      </c>
      <c r="J3087" s="2" t="s">
        <v>1429</v>
      </c>
    </row>
    <row r="3088" spans="1:10" ht="135" x14ac:dyDescent="0.25">
      <c r="A3088" s="2" t="s">
        <v>12</v>
      </c>
      <c r="B3088" s="2">
        <v>230</v>
      </c>
      <c r="C3088" s="2" t="s">
        <v>11270</v>
      </c>
      <c r="D3088" s="2" t="s">
        <v>11269</v>
      </c>
      <c r="E3088" s="2" t="s">
        <v>69</v>
      </c>
      <c r="F3088" s="3">
        <v>42590</v>
      </c>
      <c r="G3088" s="2" t="str">
        <f>"9780253022127"</f>
        <v>9780253022127</v>
      </c>
      <c r="H3088" s="2" t="s">
        <v>14</v>
      </c>
      <c r="I3088" s="4">
        <v>42996.739583333336</v>
      </c>
      <c r="J3088" s="2" t="s">
        <v>11271</v>
      </c>
    </row>
    <row r="3089" spans="1:10" ht="135" x14ac:dyDescent="0.25">
      <c r="A3089" s="2" t="s">
        <v>12</v>
      </c>
      <c r="B3089" s="2">
        <v>220.6</v>
      </c>
      <c r="C3089" s="2" t="s">
        <v>5392</v>
      </c>
      <c r="D3089" s="2" t="s">
        <v>5391</v>
      </c>
      <c r="E3089" s="2" t="s">
        <v>3610</v>
      </c>
      <c r="F3089" s="3">
        <v>42947</v>
      </c>
      <c r="G3089" s="2" t="str">
        <f>"9781433141546"</f>
        <v>9781433141546</v>
      </c>
      <c r="H3089" s="2" t="s">
        <v>14</v>
      </c>
      <c r="I3089" s="4">
        <v>43602.473611111112</v>
      </c>
      <c r="J3089" s="2" t="s">
        <v>5393</v>
      </c>
    </row>
    <row r="3090" spans="1:10" ht="150" x14ac:dyDescent="0.25">
      <c r="A3090" s="2" t="s">
        <v>12</v>
      </c>
      <c r="B3090" s="2">
        <v>220.6</v>
      </c>
      <c r="C3090" s="2" t="s">
        <v>1965</v>
      </c>
      <c r="D3090" s="2" t="s">
        <v>1964</v>
      </c>
      <c r="E3090" s="2" t="s">
        <v>370</v>
      </c>
      <c r="F3090" s="3">
        <v>43014</v>
      </c>
      <c r="G3090" s="2" t="str">
        <f>"9780884142539"</f>
        <v>9780884142539</v>
      </c>
      <c r="H3090" s="2" t="s">
        <v>14</v>
      </c>
      <c r="I3090" s="4">
        <v>43920.444444444445</v>
      </c>
      <c r="J3090" s="2" t="s">
        <v>1966</v>
      </c>
    </row>
    <row r="3091" spans="1:10" ht="135" x14ac:dyDescent="0.25">
      <c r="A3091" s="2" t="s">
        <v>12</v>
      </c>
      <c r="B3091" s="2">
        <v>221.85900000000001</v>
      </c>
      <c r="C3091" s="2" t="s">
        <v>3757</v>
      </c>
      <c r="D3091" s="2" t="s">
        <v>3756</v>
      </c>
      <c r="E3091" s="2" t="s">
        <v>54</v>
      </c>
      <c r="F3091" s="3">
        <v>42997</v>
      </c>
      <c r="G3091" s="2" t="str">
        <f>"9781503603769"</f>
        <v>9781503603769</v>
      </c>
      <c r="H3091" s="2" t="s">
        <v>14</v>
      </c>
      <c r="I3091" s="4">
        <v>43756.586805555555</v>
      </c>
      <c r="J3091" s="2" t="s">
        <v>3758</v>
      </c>
    </row>
    <row r="3092" spans="1:10" ht="135" x14ac:dyDescent="0.25">
      <c r="A3092" s="2" t="s">
        <v>12</v>
      </c>
      <c r="B3092" s="2">
        <v>220.601</v>
      </c>
      <c r="C3092" s="2" t="s">
        <v>11675</v>
      </c>
      <c r="D3092" s="2" t="s">
        <v>11674</v>
      </c>
      <c r="E3092" s="2" t="s">
        <v>2089</v>
      </c>
      <c r="F3092" s="3">
        <v>41944</v>
      </c>
      <c r="G3092" s="2" t="str">
        <f>"9781575067179"</f>
        <v>9781575067179</v>
      </c>
      <c r="H3092" s="2" t="s">
        <v>14</v>
      </c>
      <c r="I3092" s="4">
        <v>42913.354861111111</v>
      </c>
      <c r="J3092" s="2" t="s">
        <v>11676</v>
      </c>
    </row>
    <row r="3093" spans="1:10" ht="135" x14ac:dyDescent="0.25">
      <c r="A3093" s="2" t="s">
        <v>12</v>
      </c>
      <c r="B3093" s="2">
        <v>297.4092</v>
      </c>
      <c r="C3093" s="2" t="s">
        <v>11157</v>
      </c>
      <c r="D3093" s="2" t="s">
        <v>11156</v>
      </c>
      <c r="E3093" s="2" t="s">
        <v>54</v>
      </c>
      <c r="F3093" s="3">
        <v>42319</v>
      </c>
      <c r="G3093" s="2" t="str">
        <f>"9780804796385"</f>
        <v>9780804796385</v>
      </c>
      <c r="H3093" s="2" t="s">
        <v>14</v>
      </c>
      <c r="I3093" s="4">
        <v>43012.397916666669</v>
      </c>
      <c r="J3093" s="2" t="s">
        <v>11158</v>
      </c>
    </row>
    <row r="3094" spans="1:10" ht="135" x14ac:dyDescent="0.25">
      <c r="A3094" s="2" t="s">
        <v>12</v>
      </c>
      <c r="B3094" s="2" t="s">
        <v>12602</v>
      </c>
      <c r="C3094" s="2" t="s">
        <v>12603</v>
      </c>
      <c r="D3094" s="2" t="s">
        <v>12601</v>
      </c>
      <c r="E3094" s="2" t="s">
        <v>2089</v>
      </c>
      <c r="F3094" s="3">
        <v>40664</v>
      </c>
      <c r="G3094" s="2" t="str">
        <f>"9781575066486"</f>
        <v>9781575066486</v>
      </c>
      <c r="H3094" s="2" t="s">
        <v>14</v>
      </c>
      <c r="I3094" s="4">
        <v>42790.484722222223</v>
      </c>
      <c r="J3094" s="2" t="s">
        <v>12604</v>
      </c>
    </row>
    <row r="3095" spans="1:10" ht="135" x14ac:dyDescent="0.25">
      <c r="A3095" s="2" t="s">
        <v>12</v>
      </c>
      <c r="B3095" s="2" t="s">
        <v>5880</v>
      </c>
      <c r="C3095" s="2" t="s">
        <v>5881</v>
      </c>
      <c r="D3095" s="2" t="s">
        <v>5879</v>
      </c>
      <c r="E3095" s="2" t="s">
        <v>578</v>
      </c>
      <c r="F3095" s="3">
        <v>43419</v>
      </c>
      <c r="G3095" s="2" t="str">
        <f>"9780252050930"</f>
        <v>9780252050930</v>
      </c>
      <c r="H3095" s="2" t="s">
        <v>14</v>
      </c>
      <c r="I3095" s="4">
        <v>43563.455555555556</v>
      </c>
      <c r="J3095" s="2" t="s">
        <v>5882</v>
      </c>
    </row>
    <row r="3096" spans="1:10" ht="135" x14ac:dyDescent="0.25">
      <c r="A3096" s="2" t="s">
        <v>12</v>
      </c>
      <c r="B3096" s="2" t="s">
        <v>6921</v>
      </c>
      <c r="C3096" s="2" t="s">
        <v>6922</v>
      </c>
      <c r="D3096" s="2" t="s">
        <v>6920</v>
      </c>
      <c r="E3096" s="2" t="s">
        <v>3829</v>
      </c>
      <c r="F3096" s="3">
        <v>42301</v>
      </c>
      <c r="G3096" s="2" t="str">
        <f>"9780830899098"</f>
        <v>9780830899098</v>
      </c>
      <c r="H3096" s="2" t="s">
        <v>14</v>
      </c>
      <c r="I3096" s="4">
        <v>43476.440972222219</v>
      </c>
      <c r="J3096" s="2" t="s">
        <v>6923</v>
      </c>
    </row>
    <row r="3097" spans="1:10" ht="135" x14ac:dyDescent="0.25">
      <c r="A3097" s="2" t="s">
        <v>12</v>
      </c>
      <c r="B3097" s="2" t="s">
        <v>7282</v>
      </c>
      <c r="C3097" s="2" t="s">
        <v>7283</v>
      </c>
      <c r="D3097" s="2" t="s">
        <v>7281</v>
      </c>
      <c r="E3097" s="2" t="s">
        <v>156</v>
      </c>
      <c r="F3097" s="3">
        <v>42240</v>
      </c>
      <c r="G3097" s="2" t="str">
        <f>"9781469624792"</f>
        <v>9781469624792</v>
      </c>
      <c r="H3097" s="2" t="s">
        <v>14</v>
      </c>
      <c r="I3097" s="4">
        <v>43428.131249999999</v>
      </c>
      <c r="J3097" s="2" t="s">
        <v>7284</v>
      </c>
    </row>
    <row r="3098" spans="1:10" ht="150" x14ac:dyDescent="0.25">
      <c r="A3098" s="2" t="s">
        <v>12</v>
      </c>
      <c r="B3098" s="2" t="s">
        <v>5236</v>
      </c>
      <c r="C3098" s="2" t="s">
        <v>10619</v>
      </c>
      <c r="D3098" s="2" t="s">
        <v>10618</v>
      </c>
      <c r="E3098" s="2" t="s">
        <v>2089</v>
      </c>
      <c r="F3098" s="3">
        <v>40148</v>
      </c>
      <c r="G3098" s="2" t="str">
        <f>"9781575066202"</f>
        <v>9781575066202</v>
      </c>
      <c r="H3098" s="2" t="s">
        <v>14</v>
      </c>
      <c r="I3098" s="4">
        <v>43046.353472222225</v>
      </c>
      <c r="J3098" s="2" t="s">
        <v>10620</v>
      </c>
    </row>
    <row r="3099" spans="1:10" ht="135" x14ac:dyDescent="0.25">
      <c r="A3099" s="2" t="s">
        <v>12</v>
      </c>
      <c r="B3099" s="2" t="s">
        <v>2865</v>
      </c>
      <c r="C3099" s="2" t="s">
        <v>998</v>
      </c>
      <c r="D3099" s="2" t="s">
        <v>2864</v>
      </c>
      <c r="E3099" s="2" t="s">
        <v>370</v>
      </c>
      <c r="F3099" s="3">
        <v>42277</v>
      </c>
      <c r="G3099" s="2" t="str">
        <f>"9780884140863"</f>
        <v>9780884140863</v>
      </c>
      <c r="H3099" s="2" t="s">
        <v>14</v>
      </c>
      <c r="I3099" s="4">
        <v>43847.786111111112</v>
      </c>
      <c r="J3099" s="2" t="s">
        <v>2866</v>
      </c>
    </row>
    <row r="3100" spans="1:10" ht="405" x14ac:dyDescent="0.25">
      <c r="A3100" s="2" t="s">
        <v>12</v>
      </c>
      <c r="B3100" s="2">
        <v>211</v>
      </c>
      <c r="C3100" s="2" t="s">
        <v>3856</v>
      </c>
      <c r="D3100" s="2" t="s">
        <v>3855</v>
      </c>
      <c r="E3100" s="2" t="s">
        <v>97</v>
      </c>
      <c r="F3100" s="3">
        <v>42353</v>
      </c>
      <c r="G3100" s="2" t="str">
        <f>"9780231540889"</f>
        <v>9780231540889</v>
      </c>
      <c r="H3100" s="2" t="s">
        <v>14</v>
      </c>
      <c r="I3100" s="4">
        <v>43749.502083333333</v>
      </c>
      <c r="J3100" s="2" t="s">
        <v>3857</v>
      </c>
    </row>
    <row r="3101" spans="1:10" ht="165" x14ac:dyDescent="0.25">
      <c r="A3101" s="2" t="s">
        <v>12</v>
      </c>
      <c r="B3101" s="2" t="s">
        <v>4992</v>
      </c>
      <c r="C3101" s="2" t="s">
        <v>4993</v>
      </c>
      <c r="D3101" s="2" t="s">
        <v>4991</v>
      </c>
      <c r="E3101" s="2" t="s">
        <v>156</v>
      </c>
      <c r="F3101" s="3">
        <v>42513</v>
      </c>
      <c r="G3101" s="2" t="str">
        <f>"9781469628134"</f>
        <v>9781469628134</v>
      </c>
      <c r="H3101" s="2" t="s">
        <v>14</v>
      </c>
      <c r="I3101" s="4">
        <v>43613.644444444442</v>
      </c>
      <c r="J3101" s="2" t="s">
        <v>4994</v>
      </c>
    </row>
    <row r="3102" spans="1:10" ht="315" x14ac:dyDescent="0.25">
      <c r="A3102" s="2" t="s">
        <v>12</v>
      </c>
      <c r="B3102" s="2">
        <v>261.8321969232</v>
      </c>
      <c r="C3102" s="2" t="s">
        <v>2780</v>
      </c>
      <c r="D3102" s="2" t="s">
        <v>2779</v>
      </c>
      <c r="E3102" s="2" t="s">
        <v>561</v>
      </c>
      <c r="F3102" s="3">
        <v>42992</v>
      </c>
      <c r="G3102" s="2" t="str">
        <f>"9789088904882"</f>
        <v>9789088904882</v>
      </c>
      <c r="H3102" s="2" t="s">
        <v>14</v>
      </c>
      <c r="I3102" s="4">
        <v>43855.840277777781</v>
      </c>
      <c r="J3102" s="2" t="s">
        <v>2781</v>
      </c>
    </row>
    <row r="3103" spans="1:10" ht="135" x14ac:dyDescent="0.25">
      <c r="A3103" s="2" t="s">
        <v>12</v>
      </c>
      <c r="B3103" s="2">
        <v>261.52096</v>
      </c>
      <c r="D3103" s="2" t="s">
        <v>8873</v>
      </c>
      <c r="E3103" s="2" t="s">
        <v>256</v>
      </c>
      <c r="F3103" s="3">
        <v>43133</v>
      </c>
      <c r="G3103" s="2" t="str">
        <f>"9780821446249"</f>
        <v>9780821446249</v>
      </c>
      <c r="H3103" s="2" t="s">
        <v>14</v>
      </c>
      <c r="I3103" s="4">
        <v>43244.428472222222</v>
      </c>
      <c r="J3103" s="2" t="s">
        <v>8874</v>
      </c>
    </row>
    <row r="3104" spans="1:10" ht="135" x14ac:dyDescent="0.25">
      <c r="A3104" s="2" t="s">
        <v>12</v>
      </c>
      <c r="B3104" s="2">
        <v>200.97300000000001</v>
      </c>
      <c r="D3104" s="2" t="s">
        <v>1470</v>
      </c>
      <c r="E3104" s="2" t="s">
        <v>156</v>
      </c>
      <c r="F3104" s="3">
        <v>43864</v>
      </c>
      <c r="G3104" s="2" t="str">
        <f>"9781469655642"</f>
        <v>9781469655642</v>
      </c>
      <c r="H3104" s="2" t="s">
        <v>14</v>
      </c>
      <c r="I3104" s="4">
        <v>43942.604861111111</v>
      </c>
      <c r="J3104" s="2" t="s">
        <v>1471</v>
      </c>
    </row>
    <row r="3105" spans="1:10" ht="135" x14ac:dyDescent="0.25">
      <c r="A3105" s="2" t="s">
        <v>12</v>
      </c>
      <c r="B3105" s="2" t="s">
        <v>1998</v>
      </c>
      <c r="C3105" s="2" t="s">
        <v>1999</v>
      </c>
      <c r="D3105" s="2" t="s">
        <v>1997</v>
      </c>
      <c r="E3105" s="2" t="s">
        <v>216</v>
      </c>
      <c r="F3105" s="3">
        <v>43344</v>
      </c>
      <c r="G3105" s="2" t="str">
        <f>"9781438466040"</f>
        <v>9781438466040</v>
      </c>
      <c r="H3105" s="2" t="s">
        <v>14</v>
      </c>
      <c r="I3105" s="4">
        <v>43918.484722222223</v>
      </c>
      <c r="J3105" s="2" t="s">
        <v>2000</v>
      </c>
    </row>
    <row r="3106" spans="1:10" ht="135" x14ac:dyDescent="0.25">
      <c r="A3106" s="2" t="s">
        <v>12</v>
      </c>
      <c r="B3106" s="2" t="s">
        <v>2407</v>
      </c>
      <c r="C3106" s="2" t="s">
        <v>2408</v>
      </c>
      <c r="D3106" s="2" t="s">
        <v>2406</v>
      </c>
      <c r="E3106" s="2" t="s">
        <v>216</v>
      </c>
      <c r="F3106" s="3">
        <v>43374</v>
      </c>
      <c r="G3106" s="2" t="str">
        <f>"9781438469133"</f>
        <v>9781438469133</v>
      </c>
      <c r="H3106" s="2" t="s">
        <v>14</v>
      </c>
      <c r="I3106" s="4">
        <v>43887.500694444447</v>
      </c>
      <c r="J3106" s="2" t="s">
        <v>2409</v>
      </c>
    </row>
    <row r="3107" spans="1:10" ht="150" x14ac:dyDescent="0.25">
      <c r="A3107" s="2" t="s">
        <v>12</v>
      </c>
      <c r="B3107" s="2">
        <v>275.10000000000002</v>
      </c>
      <c r="C3107" s="2" t="s">
        <v>9467</v>
      </c>
      <c r="D3107" s="2" t="s">
        <v>9466</v>
      </c>
      <c r="E3107" s="2" t="s">
        <v>221</v>
      </c>
      <c r="F3107" s="3">
        <v>42681</v>
      </c>
      <c r="G3107" s="2" t="str">
        <f>"9789888390175"</f>
        <v>9789888390175</v>
      </c>
      <c r="H3107" s="2" t="s">
        <v>14</v>
      </c>
      <c r="I3107" s="4">
        <v>43164.865972222222</v>
      </c>
      <c r="J3107" s="2" t="s">
        <v>9468</v>
      </c>
    </row>
    <row r="3108" spans="1:10" ht="165" x14ac:dyDescent="0.25">
      <c r="A3108" s="2" t="s">
        <v>12</v>
      </c>
      <c r="B3108" s="2" t="s">
        <v>3477</v>
      </c>
      <c r="C3108" s="2" t="s">
        <v>3478</v>
      </c>
      <c r="D3108" s="2" t="s">
        <v>3476</v>
      </c>
      <c r="E3108" s="2" t="s">
        <v>397</v>
      </c>
      <c r="F3108" s="3">
        <v>43774</v>
      </c>
      <c r="G3108" s="2" t="str">
        <f>"9780822987048"</f>
        <v>9780822987048</v>
      </c>
      <c r="H3108" s="2" t="s">
        <v>14</v>
      </c>
      <c r="I3108" s="4">
        <v>43780.555555555555</v>
      </c>
      <c r="J3108" s="2" t="s">
        <v>3479</v>
      </c>
    </row>
    <row r="3109" spans="1:10" ht="135" x14ac:dyDescent="0.25">
      <c r="A3109" s="2" t="s">
        <v>12</v>
      </c>
      <c r="B3109" s="2">
        <v>230.09</v>
      </c>
      <c r="C3109" s="2" t="s">
        <v>11668</v>
      </c>
      <c r="D3109" s="2" t="s">
        <v>11667</v>
      </c>
      <c r="E3109" s="2" t="s">
        <v>390</v>
      </c>
      <c r="F3109" s="3">
        <v>41939</v>
      </c>
      <c r="G3109" s="2" t="str">
        <f>"9780268086985"</f>
        <v>9780268086985</v>
      </c>
      <c r="H3109" s="2" t="s">
        <v>14</v>
      </c>
      <c r="I3109" s="4">
        <v>42913.363194444442</v>
      </c>
      <c r="J3109" s="2" t="s">
        <v>11669</v>
      </c>
    </row>
    <row r="3110" spans="1:10" ht="135" x14ac:dyDescent="0.25">
      <c r="A3110" s="2" t="s">
        <v>12</v>
      </c>
      <c r="B3110" s="2">
        <v>294</v>
      </c>
      <c r="C3110" s="2" t="s">
        <v>5514</v>
      </c>
      <c r="D3110" s="2" t="s">
        <v>5513</v>
      </c>
      <c r="E3110" s="2" t="s">
        <v>216</v>
      </c>
      <c r="F3110" s="3">
        <v>43132</v>
      </c>
      <c r="G3110" s="2" t="str">
        <f>"9781438469041"</f>
        <v>9781438469041</v>
      </c>
      <c r="H3110" s="2" t="s">
        <v>14</v>
      </c>
      <c r="I3110" s="4">
        <v>43593.644444444442</v>
      </c>
      <c r="J3110" s="2" t="s">
        <v>5515</v>
      </c>
    </row>
    <row r="3111" spans="1:10" ht="135" x14ac:dyDescent="0.25">
      <c r="A3111" s="2" t="s">
        <v>12</v>
      </c>
      <c r="B3111" s="2">
        <v>261.8</v>
      </c>
      <c r="C3111" s="2" t="s">
        <v>8648</v>
      </c>
      <c r="D3111" s="2" t="s">
        <v>8647</v>
      </c>
      <c r="E3111" s="2" t="s">
        <v>2191</v>
      </c>
      <c r="F3111" s="3">
        <v>42736</v>
      </c>
      <c r="G3111" s="2" t="str">
        <f>"9780817920289"</f>
        <v>9780817920289</v>
      </c>
      <c r="H3111" s="2" t="s">
        <v>14</v>
      </c>
      <c r="I3111" s="4">
        <v>43277.692361111112</v>
      </c>
      <c r="J3111" s="2" t="s">
        <v>8649</v>
      </c>
    </row>
    <row r="3112" spans="1:10" ht="135" x14ac:dyDescent="0.25">
      <c r="A3112" s="2" t="s">
        <v>12</v>
      </c>
      <c r="B3112" s="2" t="s">
        <v>11470</v>
      </c>
      <c r="C3112" s="2" t="s">
        <v>11471</v>
      </c>
      <c r="D3112" s="2" t="s">
        <v>11469</v>
      </c>
      <c r="E3112" s="2" t="s">
        <v>11</v>
      </c>
      <c r="F3112" s="3">
        <v>38575</v>
      </c>
      <c r="G3112" s="2" t="str">
        <f>"9780813216195"</f>
        <v>9780813216195</v>
      </c>
      <c r="H3112" s="2" t="s">
        <v>14</v>
      </c>
      <c r="I3112" s="4">
        <v>42954.630555555559</v>
      </c>
      <c r="J3112" s="2" t="s">
        <v>11472</v>
      </c>
    </row>
    <row r="3113" spans="1:10" ht="165" x14ac:dyDescent="0.25">
      <c r="A3113" s="2" t="s">
        <v>12</v>
      </c>
      <c r="B3113" s="2" t="s">
        <v>2151</v>
      </c>
      <c r="C3113" s="2" t="s">
        <v>2152</v>
      </c>
      <c r="D3113" s="2" t="s">
        <v>2150</v>
      </c>
      <c r="E3113" s="2" t="s">
        <v>370</v>
      </c>
      <c r="F3113" s="3">
        <v>42644</v>
      </c>
      <c r="G3113" s="2" t="str">
        <f>"9780884141907"</f>
        <v>9780884141907</v>
      </c>
      <c r="H3113" s="2" t="s">
        <v>14</v>
      </c>
      <c r="I3113" s="4">
        <v>43909.795138888891</v>
      </c>
      <c r="J3113" s="2" t="s">
        <v>2153</v>
      </c>
    </row>
    <row r="3114" spans="1:10" ht="135" x14ac:dyDescent="0.25">
      <c r="A3114" s="2" t="s">
        <v>12</v>
      </c>
      <c r="B3114" s="2">
        <v>220.04599999999999</v>
      </c>
      <c r="C3114" s="2" t="s">
        <v>1406</v>
      </c>
      <c r="D3114" s="2" t="s">
        <v>1405</v>
      </c>
      <c r="E3114" s="2" t="s">
        <v>216</v>
      </c>
      <c r="F3114" s="3">
        <v>43070</v>
      </c>
      <c r="G3114" s="2" t="str">
        <f>"9781438466743"</f>
        <v>9781438466743</v>
      </c>
      <c r="H3114" s="2" t="s">
        <v>14</v>
      </c>
      <c r="I3114" s="4">
        <v>43944.73541666667</v>
      </c>
      <c r="J3114" s="2" t="s">
        <v>1407</v>
      </c>
    </row>
    <row r="3115" spans="1:10" ht="135" x14ac:dyDescent="0.25">
      <c r="A3115" s="2" t="s">
        <v>12</v>
      </c>
      <c r="B3115" s="2">
        <v>261.55</v>
      </c>
      <c r="C3115" s="2" t="s">
        <v>918</v>
      </c>
      <c r="D3115" s="2" t="s">
        <v>917</v>
      </c>
      <c r="E3115" s="2" t="s">
        <v>397</v>
      </c>
      <c r="F3115" s="3">
        <v>43767</v>
      </c>
      <c r="G3115" s="2" t="str">
        <f>"9780822987116"</f>
        <v>9780822987116</v>
      </c>
      <c r="H3115" s="2" t="s">
        <v>14</v>
      </c>
      <c r="I3115" s="4">
        <v>43975.618055555555</v>
      </c>
      <c r="J3115" s="2" t="s">
        <v>919</v>
      </c>
    </row>
    <row r="3116" spans="1:10" ht="150" x14ac:dyDescent="0.25">
      <c r="A3116" s="2" t="s">
        <v>12</v>
      </c>
      <c r="B3116" s="2">
        <v>220.6</v>
      </c>
      <c r="C3116" s="2" t="s">
        <v>5937</v>
      </c>
      <c r="D3116" s="2" t="s">
        <v>5936</v>
      </c>
      <c r="E3116" s="2" t="s">
        <v>2089</v>
      </c>
      <c r="F3116" s="3">
        <v>42041</v>
      </c>
      <c r="G3116" s="2" t="str">
        <f>"9781575067209"</f>
        <v>9781575067209</v>
      </c>
      <c r="H3116" s="2" t="s">
        <v>14</v>
      </c>
      <c r="I3116" s="4">
        <v>43555.681250000001</v>
      </c>
      <c r="J3116" s="2" t="s">
        <v>5938</v>
      </c>
    </row>
    <row r="3117" spans="1:10" ht="135" x14ac:dyDescent="0.25">
      <c r="A3117" s="2" t="s">
        <v>12</v>
      </c>
      <c r="B3117" s="2">
        <v>221.6</v>
      </c>
      <c r="C3117" s="2" t="s">
        <v>2787</v>
      </c>
      <c r="D3117" s="2" t="s">
        <v>2786</v>
      </c>
      <c r="E3117" s="2" t="s">
        <v>370</v>
      </c>
      <c r="F3117" s="3">
        <v>43146</v>
      </c>
      <c r="G3117" s="2" t="str">
        <f>"9780884143659"</f>
        <v>9780884143659</v>
      </c>
      <c r="H3117" s="2" t="s">
        <v>14</v>
      </c>
      <c r="I3117" s="4">
        <v>43854.800694444442</v>
      </c>
      <c r="J3117" s="2" t="s">
        <v>2788</v>
      </c>
    </row>
    <row r="3118" spans="1:10" ht="225" x14ac:dyDescent="0.25">
      <c r="A3118" s="2" t="s">
        <v>12</v>
      </c>
      <c r="B3118" s="2">
        <v>296</v>
      </c>
      <c r="C3118" s="2" t="s">
        <v>2090</v>
      </c>
      <c r="D3118" s="2" t="s">
        <v>2088</v>
      </c>
      <c r="E3118" s="2" t="s">
        <v>2089</v>
      </c>
      <c r="F3118" s="3">
        <v>37987</v>
      </c>
      <c r="G3118" s="2" t="str">
        <f>"9781575065410"</f>
        <v>9781575065410</v>
      </c>
      <c r="H3118" s="2" t="s">
        <v>14</v>
      </c>
      <c r="I3118" s="4">
        <v>43914.65347222222</v>
      </c>
      <c r="J3118" s="2" t="s">
        <v>2091</v>
      </c>
    </row>
    <row r="3119" spans="1:10" ht="135" x14ac:dyDescent="0.25">
      <c r="A3119" s="2" t="s">
        <v>12</v>
      </c>
      <c r="B3119" s="2">
        <v>282.09199999999998</v>
      </c>
      <c r="C3119" s="2" t="s">
        <v>1670</v>
      </c>
      <c r="D3119" s="2" t="s">
        <v>8890</v>
      </c>
      <c r="E3119" s="2" t="s">
        <v>11</v>
      </c>
      <c r="F3119" s="3">
        <v>43126</v>
      </c>
      <c r="G3119" s="2" t="str">
        <f>"9780813229980"</f>
        <v>9780813229980</v>
      </c>
      <c r="H3119" s="2" t="s">
        <v>14</v>
      </c>
      <c r="I3119" s="4">
        <v>43242.565972222219</v>
      </c>
      <c r="J3119" s="2" t="s">
        <v>8891</v>
      </c>
    </row>
    <row r="3120" spans="1:10" ht="135" x14ac:dyDescent="0.25">
      <c r="A3120" s="2" t="s">
        <v>12</v>
      </c>
      <c r="B3120" s="2">
        <v>252.6</v>
      </c>
      <c r="C3120" s="2" t="s">
        <v>11576</v>
      </c>
      <c r="D3120" s="2" t="s">
        <v>11575</v>
      </c>
      <c r="E3120" s="2" t="s">
        <v>11</v>
      </c>
      <c r="F3120" s="3">
        <v>21824</v>
      </c>
      <c r="G3120" s="2" t="str">
        <f>"9780813211381"</f>
        <v>9780813211381</v>
      </c>
      <c r="H3120" s="2" t="s">
        <v>14</v>
      </c>
      <c r="I3120" s="4">
        <v>42926.836111111108</v>
      </c>
      <c r="J3120" s="2" t="s">
        <v>11577</v>
      </c>
    </row>
    <row r="3121" spans="1:10" ht="135" x14ac:dyDescent="0.25">
      <c r="A3121" s="2" t="s">
        <v>12</v>
      </c>
      <c r="B3121" s="2">
        <v>234.5</v>
      </c>
      <c r="C3121" s="2" t="s">
        <v>11546</v>
      </c>
      <c r="D3121" s="2" t="s">
        <v>11545</v>
      </c>
      <c r="E3121" s="2" t="s">
        <v>2089</v>
      </c>
      <c r="F3121" s="3">
        <v>40118</v>
      </c>
      <c r="G3121" s="2" t="str">
        <f>"9781575066844"</f>
        <v>9781575066844</v>
      </c>
      <c r="H3121" s="2" t="s">
        <v>14</v>
      </c>
      <c r="I3121" s="4">
        <v>42934.845833333333</v>
      </c>
      <c r="J3121" s="2" t="s">
        <v>11547</v>
      </c>
    </row>
    <row r="3122" spans="1:10" ht="135" x14ac:dyDescent="0.25">
      <c r="A3122" s="2" t="s">
        <v>12</v>
      </c>
      <c r="B3122" s="2" t="s">
        <v>12606</v>
      </c>
      <c r="C3122" s="2" t="s">
        <v>12607</v>
      </c>
      <c r="D3122" s="2" t="s">
        <v>12605</v>
      </c>
      <c r="E3122" s="2" t="s">
        <v>216</v>
      </c>
      <c r="F3122" s="3">
        <v>42767</v>
      </c>
      <c r="G3122" s="2" t="str">
        <f>"9781438463834"</f>
        <v>9781438463834</v>
      </c>
      <c r="H3122" s="2" t="s">
        <v>14</v>
      </c>
      <c r="I3122" s="4">
        <v>42790.400000000001</v>
      </c>
      <c r="J3122" s="2" t="s">
        <v>12608</v>
      </c>
    </row>
    <row r="3123" spans="1:10" ht="135" x14ac:dyDescent="0.25">
      <c r="A3123" s="2" t="s">
        <v>12</v>
      </c>
      <c r="B3123" s="2">
        <v>297.81092000000001</v>
      </c>
      <c r="C3123" s="2" t="s">
        <v>3040</v>
      </c>
      <c r="D3123" s="2" t="s">
        <v>3039</v>
      </c>
      <c r="E3123" s="2" t="s">
        <v>310</v>
      </c>
      <c r="F3123" s="3">
        <v>43629</v>
      </c>
      <c r="G3123" s="2" t="str">
        <f>"9780815654803"</f>
        <v>9780815654803</v>
      </c>
      <c r="H3123" s="2" t="s">
        <v>14</v>
      </c>
      <c r="I3123" s="4">
        <v>43825.064583333333</v>
      </c>
      <c r="J3123" s="2" t="s">
        <v>3041</v>
      </c>
    </row>
    <row r="3124" spans="1:10" ht="150" x14ac:dyDescent="0.25">
      <c r="A3124" s="2" t="s">
        <v>12</v>
      </c>
      <c r="B3124" s="2">
        <v>200</v>
      </c>
      <c r="C3124" s="2" t="s">
        <v>1014</v>
      </c>
      <c r="D3124" s="2" t="s">
        <v>1013</v>
      </c>
      <c r="E3124" s="2" t="s">
        <v>216</v>
      </c>
      <c r="F3124" s="3">
        <v>43040</v>
      </c>
      <c r="G3124" s="2" t="str">
        <f>"9781438466835"</f>
        <v>9781438466835</v>
      </c>
      <c r="H3124" s="2" t="s">
        <v>14</v>
      </c>
      <c r="I3124" s="4">
        <v>43969.645138888889</v>
      </c>
      <c r="J3124" s="2" t="s">
        <v>1015</v>
      </c>
    </row>
    <row r="3125" spans="1:10" ht="135" x14ac:dyDescent="0.25">
      <c r="A3125" s="2" t="s">
        <v>12</v>
      </c>
      <c r="B3125" s="2">
        <v>271.97000000000003</v>
      </c>
      <c r="C3125" s="2" t="s">
        <v>7848</v>
      </c>
      <c r="D3125" s="2" t="s">
        <v>7847</v>
      </c>
      <c r="E3125" s="2" t="s">
        <v>156</v>
      </c>
      <c r="F3125" s="3">
        <v>41582</v>
      </c>
      <c r="G3125" s="2" t="str">
        <f>"9781469612560"</f>
        <v>9781469612560</v>
      </c>
      <c r="H3125" s="2" t="s">
        <v>14</v>
      </c>
      <c r="I3125" s="4">
        <v>43384.6</v>
      </c>
      <c r="J3125" s="2" t="s">
        <v>7849</v>
      </c>
    </row>
    <row r="3126" spans="1:10" ht="135" x14ac:dyDescent="0.25">
      <c r="A3126" s="2" t="s">
        <v>12</v>
      </c>
      <c r="B3126" s="2" t="s">
        <v>5281</v>
      </c>
      <c r="C3126" s="2" t="s">
        <v>5282</v>
      </c>
      <c r="D3126" s="2" t="s">
        <v>5280</v>
      </c>
      <c r="E3126" s="2" t="s">
        <v>121</v>
      </c>
      <c r="F3126" s="3">
        <v>42856</v>
      </c>
      <c r="G3126" s="2" t="str">
        <f>"9781609175221"</f>
        <v>9781609175221</v>
      </c>
      <c r="H3126" s="2" t="s">
        <v>14</v>
      </c>
      <c r="I3126" s="4">
        <v>43605.993750000001</v>
      </c>
      <c r="J3126" s="2" t="s">
        <v>5283</v>
      </c>
    </row>
    <row r="3127" spans="1:10" ht="135" x14ac:dyDescent="0.25">
      <c r="A3127" s="2" t="s">
        <v>12</v>
      </c>
      <c r="B3127" s="2">
        <v>277.50819999999999</v>
      </c>
      <c r="C3127" s="2" t="s">
        <v>8635</v>
      </c>
      <c r="D3127" s="2" t="s">
        <v>8634</v>
      </c>
      <c r="E3127" s="2" t="s">
        <v>41</v>
      </c>
      <c r="F3127" s="3">
        <v>42611</v>
      </c>
      <c r="G3127" s="2" t="str">
        <f>"9780817389710"</f>
        <v>9780817389710</v>
      </c>
      <c r="H3127" s="2" t="s">
        <v>14</v>
      </c>
      <c r="I3127" s="4">
        <v>43281.504166666666</v>
      </c>
      <c r="J3127" s="2" t="s">
        <v>8636</v>
      </c>
    </row>
    <row r="3128" spans="1:10" ht="135" x14ac:dyDescent="0.25">
      <c r="A3128" s="2" t="s">
        <v>12</v>
      </c>
      <c r="B3128" s="2" t="s">
        <v>1060</v>
      </c>
      <c r="C3128" s="2" t="s">
        <v>1061</v>
      </c>
      <c r="D3128" s="2" t="s">
        <v>1059</v>
      </c>
      <c r="E3128" s="2" t="s">
        <v>322</v>
      </c>
      <c r="F3128" s="3">
        <v>43709</v>
      </c>
      <c r="G3128" s="2" t="str">
        <f>"9780820355733"</f>
        <v>9780820355733</v>
      </c>
      <c r="H3128" s="2" t="s">
        <v>14</v>
      </c>
      <c r="I3128" s="4">
        <v>43966.620833333334</v>
      </c>
      <c r="J3128" s="2" t="s">
        <v>1062</v>
      </c>
    </row>
    <row r="3129" spans="1:10" ht="135" x14ac:dyDescent="0.25">
      <c r="A3129" s="2" t="s">
        <v>12</v>
      </c>
      <c r="B3129" s="2">
        <v>248.4</v>
      </c>
      <c r="C3129" s="2" t="s">
        <v>2126</v>
      </c>
      <c r="D3129" s="2" t="s">
        <v>2124</v>
      </c>
      <c r="E3129" s="2" t="s">
        <v>2125</v>
      </c>
      <c r="F3129" s="3">
        <v>43473</v>
      </c>
      <c r="G3129" s="2" t="str">
        <f>"9780310536482"</f>
        <v>9780310536482</v>
      </c>
      <c r="H3129" s="2" t="s">
        <v>14</v>
      </c>
      <c r="I3129" s="4">
        <v>43911.82708333333</v>
      </c>
      <c r="J3129" s="2" t="s">
        <v>2127</v>
      </c>
    </row>
    <row r="3130" spans="1:10" ht="135" x14ac:dyDescent="0.25">
      <c r="A3130" s="2" t="s">
        <v>12</v>
      </c>
      <c r="B3130" s="2">
        <v>223.20599999999999</v>
      </c>
      <c r="C3130" s="2" t="s">
        <v>998</v>
      </c>
      <c r="D3130" s="2" t="s">
        <v>9150</v>
      </c>
      <c r="E3130" s="2" t="s">
        <v>11</v>
      </c>
      <c r="F3130" s="3">
        <v>41905</v>
      </c>
      <c r="G3130" s="2" t="str">
        <f>"9780813227047"</f>
        <v>9780813227047</v>
      </c>
      <c r="H3130" s="2" t="s">
        <v>14</v>
      </c>
      <c r="I3130" s="4">
        <v>43210.418055555558</v>
      </c>
      <c r="J3130" s="2" t="s">
        <v>9151</v>
      </c>
    </row>
    <row r="3131" spans="1:10" ht="165" x14ac:dyDescent="0.25">
      <c r="A3131" s="2" t="s">
        <v>12</v>
      </c>
      <c r="B3131" s="2">
        <v>277.5</v>
      </c>
      <c r="C3131" s="2" t="s">
        <v>3720</v>
      </c>
      <c r="D3131" s="2" t="s">
        <v>3719</v>
      </c>
      <c r="E3131" s="2" t="s">
        <v>156</v>
      </c>
      <c r="F3131" s="3">
        <v>43213</v>
      </c>
      <c r="G3131" s="2" t="str">
        <f>"9781469640396"</f>
        <v>9781469640396</v>
      </c>
      <c r="H3131" s="2" t="s">
        <v>14</v>
      </c>
      <c r="I3131" s="4">
        <v>43761.796527777777</v>
      </c>
      <c r="J3131" s="2" t="s">
        <v>3721</v>
      </c>
    </row>
    <row r="3132" spans="1:10" ht="135" x14ac:dyDescent="0.25">
      <c r="A3132" s="2" t="s">
        <v>12</v>
      </c>
      <c r="B3132" s="2" t="s">
        <v>9141</v>
      </c>
      <c r="C3132" s="2" t="s">
        <v>9142</v>
      </c>
      <c r="D3132" s="2" t="s">
        <v>9140</v>
      </c>
      <c r="E3132" s="2" t="s">
        <v>156</v>
      </c>
      <c r="F3132" s="3">
        <v>42275</v>
      </c>
      <c r="G3132" s="2" t="str">
        <f>"9781469624884"</f>
        <v>9781469624884</v>
      </c>
      <c r="H3132" s="2" t="s">
        <v>14</v>
      </c>
      <c r="I3132" s="4">
        <v>43210.814583333333</v>
      </c>
      <c r="J3132" s="2" t="s">
        <v>9143</v>
      </c>
    </row>
    <row r="3133" spans="1:10" ht="135" x14ac:dyDescent="0.25">
      <c r="A3133" s="2" t="s">
        <v>12</v>
      </c>
      <c r="B3133" s="2" t="s">
        <v>1046</v>
      </c>
      <c r="C3133" s="2" t="s">
        <v>1047</v>
      </c>
      <c r="D3133" s="2" t="s">
        <v>1045</v>
      </c>
      <c r="E3133" s="2" t="s">
        <v>89</v>
      </c>
      <c r="F3133" s="3">
        <v>43009</v>
      </c>
      <c r="G3133" s="2" t="str">
        <f>"9781785337147"</f>
        <v>9781785337147</v>
      </c>
      <c r="H3133" s="2" t="s">
        <v>14</v>
      </c>
      <c r="I3133" s="4">
        <v>43967.65902777778</v>
      </c>
      <c r="J3133" s="2" t="s">
        <v>1048</v>
      </c>
    </row>
    <row r="3134" spans="1:10" ht="135" x14ac:dyDescent="0.25">
      <c r="A3134" s="2" t="s">
        <v>12</v>
      </c>
      <c r="B3134" s="2" t="s">
        <v>1961</v>
      </c>
      <c r="C3134" s="2" t="s">
        <v>1962</v>
      </c>
      <c r="D3134" s="2" t="s">
        <v>1960</v>
      </c>
      <c r="E3134" s="2" t="s">
        <v>370</v>
      </c>
      <c r="F3134" s="3">
        <v>43101</v>
      </c>
      <c r="G3134" s="2" t="str">
        <f>"9780884142812"</f>
        <v>9780884142812</v>
      </c>
      <c r="H3134" s="2" t="s">
        <v>14</v>
      </c>
      <c r="I3134" s="4">
        <v>43920.449305555558</v>
      </c>
      <c r="J3134" s="2" t="s">
        <v>1963</v>
      </c>
    </row>
    <row r="3135" spans="1:10" ht="135" x14ac:dyDescent="0.25">
      <c r="A3135" s="2" t="s">
        <v>12</v>
      </c>
      <c r="B3135" s="2" t="s">
        <v>10662</v>
      </c>
      <c r="C3135" s="2" t="s">
        <v>10663</v>
      </c>
      <c r="D3135" s="2" t="s">
        <v>10661</v>
      </c>
      <c r="E3135" s="2" t="s">
        <v>390</v>
      </c>
      <c r="F3135" s="3">
        <v>42870</v>
      </c>
      <c r="G3135" s="2" t="str">
        <f>"9780268101008"</f>
        <v>9780268101008</v>
      </c>
      <c r="H3135" s="2" t="s">
        <v>14</v>
      </c>
      <c r="I3135" s="4">
        <v>43043.672222222223</v>
      </c>
      <c r="J3135" s="2" t="s">
        <v>10664</v>
      </c>
    </row>
    <row r="3136" spans="1:10" ht="135" x14ac:dyDescent="0.25">
      <c r="A3136" s="2" t="s">
        <v>12</v>
      </c>
      <c r="B3136" s="2">
        <v>275.10809999999998</v>
      </c>
      <c r="C3136" s="2" t="s">
        <v>1632</v>
      </c>
      <c r="D3136" s="2" t="s">
        <v>2687</v>
      </c>
      <c r="E3136" s="2" t="s">
        <v>618</v>
      </c>
      <c r="F3136" s="3">
        <v>42640</v>
      </c>
      <c r="G3136" s="2" t="str">
        <f>"9781137537287"</f>
        <v>9781137537287</v>
      </c>
      <c r="H3136" s="2" t="s">
        <v>14</v>
      </c>
      <c r="I3136" s="4">
        <v>43864.821527777778</v>
      </c>
      <c r="J3136" s="2" t="s">
        <v>2688</v>
      </c>
    </row>
    <row r="3137" spans="1:10" ht="135" x14ac:dyDescent="0.25">
      <c r="A3137" s="2" t="s">
        <v>12</v>
      </c>
      <c r="C3137" s="2" t="s">
        <v>1670</v>
      </c>
      <c r="D3137" s="2" t="s">
        <v>4664</v>
      </c>
      <c r="E3137" s="2" t="s">
        <v>11</v>
      </c>
      <c r="F3137" s="3">
        <v>43593</v>
      </c>
      <c r="G3137" s="2" t="str">
        <f>"9780813231761"</f>
        <v>9780813231761</v>
      </c>
      <c r="H3137" s="2" t="s">
        <v>14</v>
      </c>
      <c r="I3137" s="4">
        <v>43639.918055555558</v>
      </c>
      <c r="J3137" s="2" t="s">
        <v>4665</v>
      </c>
    </row>
    <row r="3138" spans="1:10" ht="135" x14ac:dyDescent="0.25">
      <c r="A3138" s="2" t="s">
        <v>12</v>
      </c>
      <c r="C3138" s="2" t="s">
        <v>8050</v>
      </c>
      <c r="D3138" s="2" t="s">
        <v>8049</v>
      </c>
      <c r="E3138" s="2" t="s">
        <v>69</v>
      </c>
      <c r="F3138" s="3">
        <v>43024</v>
      </c>
      <c r="G3138" s="2" t="str">
        <f>"9780253029515"</f>
        <v>9780253029515</v>
      </c>
      <c r="H3138" s="2" t="s">
        <v>14</v>
      </c>
      <c r="I3138" s="4">
        <v>43360.734722222223</v>
      </c>
      <c r="J3138" s="2" t="s">
        <v>8051</v>
      </c>
    </row>
    <row r="3139" spans="1:10" ht="135" x14ac:dyDescent="0.25">
      <c r="A3139" s="2" t="s">
        <v>12</v>
      </c>
      <c r="B3139" s="2">
        <v>299.31229999999999</v>
      </c>
      <c r="C3139" s="2" t="s">
        <v>2312</v>
      </c>
      <c r="D3139" s="2" t="s">
        <v>2311</v>
      </c>
      <c r="E3139" s="2" t="s">
        <v>370</v>
      </c>
      <c r="F3139" s="3">
        <v>43007</v>
      </c>
      <c r="G3139" s="2" t="str">
        <f>"9780884140450"</f>
        <v>9780884140450</v>
      </c>
      <c r="H3139" s="2" t="s">
        <v>14</v>
      </c>
      <c r="I3139" s="4">
        <v>43894.109027777777</v>
      </c>
      <c r="J3139" s="2" t="s">
        <v>2313</v>
      </c>
    </row>
    <row r="3140" spans="1:10" ht="135" x14ac:dyDescent="0.25">
      <c r="A3140" s="2" t="s">
        <v>12</v>
      </c>
      <c r="B3140" s="2">
        <v>225.92</v>
      </c>
      <c r="C3140" s="2" t="s">
        <v>4480</v>
      </c>
      <c r="D3140" s="2" t="s">
        <v>4479</v>
      </c>
      <c r="E3140" s="2" t="s">
        <v>557</v>
      </c>
      <c r="F3140" s="3">
        <v>42600</v>
      </c>
      <c r="G3140" s="2" t="str">
        <f>"9781467445405"</f>
        <v>9781467445405</v>
      </c>
      <c r="H3140" s="2" t="s">
        <v>14</v>
      </c>
      <c r="I3140" s="4">
        <v>43661.474305555559</v>
      </c>
      <c r="J3140" s="2" t="s">
        <v>4481</v>
      </c>
    </row>
    <row r="3141" spans="1:10" ht="165" x14ac:dyDescent="0.25">
      <c r="A3141" s="2" t="s">
        <v>12</v>
      </c>
      <c r="B3141" s="2" t="s">
        <v>12618</v>
      </c>
      <c r="C3141" s="2" t="s">
        <v>12619</v>
      </c>
      <c r="D3141" s="2" t="s">
        <v>12617</v>
      </c>
      <c r="E3141" s="2" t="s">
        <v>216</v>
      </c>
      <c r="F3141" s="3">
        <v>41913</v>
      </c>
      <c r="G3141" s="2" t="str">
        <f>"9781438453729"</f>
        <v>9781438453729</v>
      </c>
      <c r="H3141" s="2" t="s">
        <v>14</v>
      </c>
      <c r="I3141" s="4">
        <v>42789.488888888889</v>
      </c>
      <c r="J3141" s="2" t="s">
        <v>12620</v>
      </c>
    </row>
    <row r="3142" spans="1:10" ht="135" x14ac:dyDescent="0.25">
      <c r="A3142" s="2" t="s">
        <v>12</v>
      </c>
      <c r="B3142" s="2">
        <v>276.75106</v>
      </c>
      <c r="C3142" s="2" t="s">
        <v>12160</v>
      </c>
      <c r="D3142" s="2" t="s">
        <v>12159</v>
      </c>
      <c r="E3142" s="2" t="s">
        <v>156</v>
      </c>
      <c r="F3142" s="3">
        <v>41992</v>
      </c>
      <c r="G3142" s="2" t="str">
        <f>"9781469618739"</f>
        <v>9781469618739</v>
      </c>
      <c r="H3142" s="2" t="s">
        <v>14</v>
      </c>
      <c r="I3142" s="4">
        <v>42842.460416666669</v>
      </c>
      <c r="J3142" s="2" t="s">
        <v>12161</v>
      </c>
    </row>
    <row r="3143" spans="1:10" ht="135" x14ac:dyDescent="0.25">
      <c r="A3143" s="2" t="s">
        <v>12</v>
      </c>
      <c r="B3143" s="2" t="s">
        <v>8175</v>
      </c>
      <c r="C3143" s="2" t="s">
        <v>8176</v>
      </c>
      <c r="D3143" s="2" t="s">
        <v>8174</v>
      </c>
      <c r="E3143" s="2" t="s">
        <v>11</v>
      </c>
      <c r="F3143" s="3">
        <v>43140</v>
      </c>
      <c r="G3143" s="2" t="str">
        <f>"9780813229966"</f>
        <v>9780813229966</v>
      </c>
      <c r="H3143" s="2" t="s">
        <v>14</v>
      </c>
      <c r="I3143" s="4">
        <v>43344.527777777781</v>
      </c>
      <c r="J3143" s="2" t="s">
        <v>8177</v>
      </c>
    </row>
    <row r="3144" spans="1:10" ht="150" x14ac:dyDescent="0.25">
      <c r="A3144" s="2" t="s">
        <v>12</v>
      </c>
      <c r="B3144" s="2" t="s">
        <v>11549</v>
      </c>
      <c r="C3144" s="2" t="s">
        <v>11550</v>
      </c>
      <c r="D3144" s="2" t="s">
        <v>11548</v>
      </c>
      <c r="E3144" s="2" t="s">
        <v>216</v>
      </c>
      <c r="F3144" s="3">
        <v>32462</v>
      </c>
      <c r="G3144" s="2" t="str">
        <f>"9780791494363"</f>
        <v>9780791494363</v>
      </c>
      <c r="H3144" s="2" t="s">
        <v>14</v>
      </c>
      <c r="I3144" s="4">
        <v>42934.379861111112</v>
      </c>
      <c r="J3144" s="2" t="s">
        <v>11551</v>
      </c>
    </row>
    <row r="3145" spans="1:10" ht="135" x14ac:dyDescent="0.25">
      <c r="A3145" s="2" t="s">
        <v>12</v>
      </c>
      <c r="B3145" s="2" t="s">
        <v>6689</v>
      </c>
      <c r="C3145" s="2" t="s">
        <v>6690</v>
      </c>
      <c r="D3145" s="2" t="s">
        <v>6688</v>
      </c>
      <c r="E3145" s="2" t="s">
        <v>11</v>
      </c>
      <c r="F3145" s="3">
        <v>43389</v>
      </c>
      <c r="G3145" s="2" t="str">
        <f>"9780813231303"</f>
        <v>9780813231303</v>
      </c>
      <c r="H3145" s="2" t="s">
        <v>14</v>
      </c>
      <c r="I3145" s="4">
        <v>43496.490277777775</v>
      </c>
      <c r="J3145" s="2" t="s">
        <v>6691</v>
      </c>
    </row>
    <row r="3146" spans="1:10" ht="135" x14ac:dyDescent="0.25">
      <c r="A3146" s="2" t="s">
        <v>12</v>
      </c>
      <c r="B3146" s="2">
        <v>222.10919999999999</v>
      </c>
      <c r="C3146" s="2" t="s">
        <v>1666</v>
      </c>
      <c r="D3146" s="2" t="s">
        <v>1665</v>
      </c>
      <c r="E3146" s="2" t="s">
        <v>11</v>
      </c>
      <c r="F3146" s="3">
        <v>43656</v>
      </c>
      <c r="G3146" s="2" t="str">
        <f>"9780813231921"</f>
        <v>9780813231921</v>
      </c>
      <c r="H3146" s="2" t="s">
        <v>14</v>
      </c>
      <c r="I3146" s="4">
        <v>43934.383333333331</v>
      </c>
      <c r="J3146" s="2" t="s">
        <v>1667</v>
      </c>
    </row>
    <row r="3147" spans="1:10" ht="180" x14ac:dyDescent="0.25">
      <c r="A3147" s="2" t="s">
        <v>12</v>
      </c>
      <c r="B3147" s="2">
        <v>224.98060000000001</v>
      </c>
      <c r="C3147" s="2" t="s">
        <v>2884</v>
      </c>
      <c r="D3147" s="2" t="s">
        <v>2883</v>
      </c>
      <c r="E3147" s="2" t="s">
        <v>460</v>
      </c>
      <c r="F3147" s="3">
        <v>43790</v>
      </c>
      <c r="G3147" s="2" t="str">
        <f>"9780773559790"</f>
        <v>9780773559790</v>
      </c>
      <c r="H3147" s="2" t="s">
        <v>14</v>
      </c>
      <c r="I3147" s="4">
        <v>43846.606249999997</v>
      </c>
      <c r="J3147" s="2" t="s">
        <v>2885</v>
      </c>
    </row>
    <row r="3148" spans="1:10" ht="135" x14ac:dyDescent="0.25">
      <c r="A3148" s="2" t="s">
        <v>12</v>
      </c>
      <c r="B3148" s="2">
        <v>255</v>
      </c>
      <c r="C3148" s="2" t="s">
        <v>5664</v>
      </c>
      <c r="D3148" s="2" t="s">
        <v>5663</v>
      </c>
      <c r="E3148" s="2" t="s">
        <v>11</v>
      </c>
      <c r="F3148" s="3">
        <v>43077</v>
      </c>
      <c r="G3148" s="2" t="str">
        <f>"9780813230009"</f>
        <v>9780813230009</v>
      </c>
      <c r="H3148" s="2" t="s">
        <v>14</v>
      </c>
      <c r="I3148" s="4">
        <v>43582.944444444445</v>
      </c>
      <c r="J3148" s="2" t="s">
        <v>5665</v>
      </c>
    </row>
    <row r="3149" spans="1:10" ht="195" x14ac:dyDescent="0.25">
      <c r="A3149" s="2" t="s">
        <v>12</v>
      </c>
      <c r="B3149" s="2">
        <v>282.73091734000002</v>
      </c>
      <c r="C3149" s="2" t="s">
        <v>6462</v>
      </c>
      <c r="D3149" s="2" t="s">
        <v>6461</v>
      </c>
      <c r="E3149" s="2" t="s">
        <v>11</v>
      </c>
      <c r="F3149" s="3">
        <v>40204</v>
      </c>
      <c r="G3149" s="2" t="str">
        <f>"9780813217598"</f>
        <v>9780813217598</v>
      </c>
      <c r="H3149" s="2" t="s">
        <v>14</v>
      </c>
      <c r="I3149" s="4">
        <v>43515.835416666669</v>
      </c>
      <c r="J3149" s="2" t="s">
        <v>6463</v>
      </c>
    </row>
    <row r="3150" spans="1:10" ht="135" x14ac:dyDescent="0.25">
      <c r="A3150" s="2" t="s">
        <v>12</v>
      </c>
      <c r="B3150" s="2" t="s">
        <v>9241</v>
      </c>
      <c r="C3150" s="2" t="s">
        <v>9242</v>
      </c>
      <c r="D3150" s="2" t="s">
        <v>9240</v>
      </c>
      <c r="E3150" s="2" t="s">
        <v>11</v>
      </c>
      <c r="F3150" s="3">
        <v>42929</v>
      </c>
      <c r="G3150" s="2" t="str">
        <f>"9780813229669"</f>
        <v>9780813229669</v>
      </c>
      <c r="H3150" s="2" t="s">
        <v>14</v>
      </c>
      <c r="I3150" s="4">
        <v>43196.425694444442</v>
      </c>
      <c r="J3150" s="2" t="s">
        <v>9243</v>
      </c>
    </row>
    <row r="3151" spans="1:10" ht="135" x14ac:dyDescent="0.25">
      <c r="A3151" s="2" t="s">
        <v>12</v>
      </c>
      <c r="B3151" s="2">
        <v>239.3</v>
      </c>
      <c r="C3151" s="2" t="s">
        <v>13083</v>
      </c>
      <c r="D3151" s="2" t="s">
        <v>13082</v>
      </c>
      <c r="E3151" s="2" t="s">
        <v>11</v>
      </c>
      <c r="F3151" s="3">
        <v>19906</v>
      </c>
      <c r="G3151" s="2" t="str">
        <f>"9780813211244"</f>
        <v>9780813211244</v>
      </c>
      <c r="H3151" s="2" t="s">
        <v>14</v>
      </c>
      <c r="I3151" s="4">
        <v>42739.084027777775</v>
      </c>
      <c r="J3151" s="2" t="s">
        <v>13084</v>
      </c>
    </row>
    <row r="3152" spans="1:10" ht="135" x14ac:dyDescent="0.25">
      <c r="A3152" s="2" t="s">
        <v>12</v>
      </c>
      <c r="B3152" s="2">
        <v>232</v>
      </c>
      <c r="C3152" s="2" t="s">
        <v>12118</v>
      </c>
      <c r="D3152" s="2" t="s">
        <v>12117</v>
      </c>
      <c r="E3152" s="2" t="s">
        <v>156</v>
      </c>
      <c r="F3152" s="3">
        <v>41852</v>
      </c>
      <c r="G3152" s="2" t="str">
        <f>"9781469601540"</f>
        <v>9781469601540</v>
      </c>
      <c r="H3152" s="2" t="s">
        <v>14</v>
      </c>
      <c r="I3152" s="4">
        <v>42849.675694444442</v>
      </c>
      <c r="J3152" s="2" t="s">
        <v>12119</v>
      </c>
    </row>
    <row r="3153" spans="1:10" ht="135" x14ac:dyDescent="0.25">
      <c r="A3153" s="2" t="s">
        <v>12</v>
      </c>
      <c r="B3153" s="2">
        <v>296.15499999999997</v>
      </c>
      <c r="C3153" s="2" t="s">
        <v>2326</v>
      </c>
      <c r="D3153" s="2" t="s">
        <v>2325</v>
      </c>
      <c r="E3153" s="2" t="s">
        <v>370</v>
      </c>
      <c r="F3153" s="3">
        <v>42186</v>
      </c>
      <c r="G3153" s="2" t="str">
        <f>"9780884140573"</f>
        <v>9780884140573</v>
      </c>
      <c r="H3153" s="2" t="s">
        <v>14</v>
      </c>
      <c r="I3153" s="4">
        <v>43893.545138888891</v>
      </c>
      <c r="J3153" s="2" t="s">
        <v>2327</v>
      </c>
    </row>
    <row r="3154" spans="1:10" ht="135" x14ac:dyDescent="0.25">
      <c r="A3154" s="2" t="s">
        <v>12</v>
      </c>
      <c r="B3154" s="2">
        <v>282.09199999999998</v>
      </c>
      <c r="C3154" s="2" t="s">
        <v>10015</v>
      </c>
      <c r="D3154" s="2" t="s">
        <v>10014</v>
      </c>
      <c r="E3154" s="2" t="s">
        <v>11</v>
      </c>
      <c r="F3154" s="3">
        <v>42031</v>
      </c>
      <c r="G3154" s="2" t="str">
        <f>"9780813227085"</f>
        <v>9780813227085</v>
      </c>
      <c r="H3154" s="2" t="s">
        <v>14</v>
      </c>
      <c r="I3154" s="4">
        <v>43111.447222222225</v>
      </c>
      <c r="J3154" s="2" t="s">
        <v>10016</v>
      </c>
    </row>
    <row r="3155" spans="1:10" ht="150" x14ac:dyDescent="0.25">
      <c r="A3155" s="2" t="s">
        <v>12</v>
      </c>
      <c r="B3155" s="2" t="s">
        <v>7697</v>
      </c>
      <c r="C3155" s="2" t="s">
        <v>7698</v>
      </c>
      <c r="D3155" s="2" t="s">
        <v>7696</v>
      </c>
      <c r="E3155" s="2" t="s">
        <v>674</v>
      </c>
      <c r="F3155" s="3">
        <v>42278</v>
      </c>
      <c r="G3155" s="2" t="str">
        <f>"9780823267248"</f>
        <v>9780823267248</v>
      </c>
      <c r="H3155" s="2" t="s">
        <v>14</v>
      </c>
      <c r="I3155" s="4">
        <v>43399.475694444445</v>
      </c>
      <c r="J3155" s="2" t="s">
        <v>7699</v>
      </c>
    </row>
    <row r="3156" spans="1:10" ht="135" x14ac:dyDescent="0.25">
      <c r="A3156" s="2" t="s">
        <v>12</v>
      </c>
      <c r="B3156" s="2">
        <v>270.10000000000002</v>
      </c>
      <c r="C3156" s="2" t="s">
        <v>4996</v>
      </c>
      <c r="D3156" s="2" t="s">
        <v>4995</v>
      </c>
      <c r="E3156" s="2" t="s">
        <v>370</v>
      </c>
      <c r="F3156" s="3">
        <v>42026</v>
      </c>
      <c r="G3156" s="2" t="str">
        <f>"9781628370492"</f>
        <v>9781628370492</v>
      </c>
      <c r="H3156" s="2" t="s">
        <v>14</v>
      </c>
      <c r="I3156" s="4">
        <v>43613.554166666669</v>
      </c>
      <c r="J3156" s="2" t="s">
        <v>4997</v>
      </c>
    </row>
    <row r="3157" spans="1:10" ht="135" x14ac:dyDescent="0.25">
      <c r="A3157" s="2" t="s">
        <v>12</v>
      </c>
      <c r="B3157" s="2">
        <v>230.04409200000001</v>
      </c>
      <c r="C3157" s="2" t="s">
        <v>1037</v>
      </c>
      <c r="D3157" s="2" t="s">
        <v>1035</v>
      </c>
      <c r="E3157" s="2" t="s">
        <v>1036</v>
      </c>
      <c r="F3157" s="3">
        <v>42440</v>
      </c>
      <c r="G3157" s="2" t="str">
        <f>"9781498206570"</f>
        <v>9781498206570</v>
      </c>
      <c r="H3157" s="2" t="s">
        <v>14</v>
      </c>
      <c r="I3157" s="4">
        <v>43968.609027777777</v>
      </c>
      <c r="J3157" s="2" t="s">
        <v>1038</v>
      </c>
    </row>
    <row r="3158" spans="1:10" ht="135" x14ac:dyDescent="0.25">
      <c r="A3158" s="2" t="s">
        <v>12</v>
      </c>
      <c r="B3158" s="2" t="s">
        <v>13000</v>
      </c>
      <c r="C3158" s="2" t="s">
        <v>13001</v>
      </c>
      <c r="D3158" s="2" t="s">
        <v>12999</v>
      </c>
      <c r="E3158" s="2" t="s">
        <v>310</v>
      </c>
      <c r="F3158" s="3">
        <v>41051</v>
      </c>
      <c r="G3158" s="2" t="str">
        <f>"9780815650843"</f>
        <v>9780815650843</v>
      </c>
      <c r="H3158" s="2" t="s">
        <v>14</v>
      </c>
      <c r="I3158" s="4">
        <v>42746.084027777775</v>
      </c>
      <c r="J3158" s="2" t="s">
        <v>13002</v>
      </c>
    </row>
    <row r="3159" spans="1:10" ht="165" x14ac:dyDescent="0.25">
      <c r="A3159" s="2" t="s">
        <v>12</v>
      </c>
      <c r="B3159" s="2">
        <v>222.12091000000001</v>
      </c>
      <c r="C3159" s="2" t="s">
        <v>1750</v>
      </c>
      <c r="D3159" s="2" t="s">
        <v>1749</v>
      </c>
      <c r="E3159" s="2" t="s">
        <v>817</v>
      </c>
      <c r="F3159" s="3">
        <v>43069</v>
      </c>
      <c r="G3159" s="2" t="str">
        <f>"9783161555824"</f>
        <v>9783161555824</v>
      </c>
      <c r="H3159" s="2" t="s">
        <v>14</v>
      </c>
      <c r="I3159" s="4">
        <v>43929.306250000001</v>
      </c>
      <c r="J3159" s="2" t="s">
        <v>1751</v>
      </c>
    </row>
    <row r="3160" spans="1:10" ht="135" x14ac:dyDescent="0.25">
      <c r="A3160" s="2" t="s">
        <v>12</v>
      </c>
      <c r="B3160" s="2" t="s">
        <v>11458</v>
      </c>
      <c r="C3160" s="2" t="s">
        <v>5030</v>
      </c>
      <c r="D3160" s="2" t="s">
        <v>11457</v>
      </c>
      <c r="E3160" s="2" t="s">
        <v>11</v>
      </c>
      <c r="F3160" s="3">
        <v>39876</v>
      </c>
      <c r="G3160" s="2" t="str">
        <f>"9780813217109"</f>
        <v>9780813217109</v>
      </c>
      <c r="H3160" s="2" t="s">
        <v>14</v>
      </c>
      <c r="I3160" s="4">
        <v>42964.637499999997</v>
      </c>
      <c r="J3160" s="2" t="s">
        <v>11459</v>
      </c>
    </row>
    <row r="3161" spans="1:10" ht="135" x14ac:dyDescent="0.25">
      <c r="A3161" s="2" t="s">
        <v>12</v>
      </c>
      <c r="B3161" s="2">
        <v>270.10000000000002</v>
      </c>
      <c r="C3161" s="2" t="s">
        <v>650</v>
      </c>
      <c r="D3161" s="2" t="s">
        <v>649</v>
      </c>
      <c r="E3161" s="2" t="s">
        <v>11</v>
      </c>
      <c r="F3161" s="3">
        <v>43628</v>
      </c>
      <c r="G3161" s="2" t="str">
        <f>"9780813231723"</f>
        <v>9780813231723</v>
      </c>
      <c r="H3161" s="2" t="s">
        <v>14</v>
      </c>
      <c r="I3161" s="4">
        <v>44003.671527777777</v>
      </c>
      <c r="J3161" s="2" t="s">
        <v>651</v>
      </c>
    </row>
    <row r="3162" spans="1:10" ht="150" x14ac:dyDescent="0.25">
      <c r="A3162" s="2" t="s">
        <v>12</v>
      </c>
      <c r="B3162" s="2">
        <v>236.9</v>
      </c>
      <c r="C3162" s="2" t="s">
        <v>1989</v>
      </c>
      <c r="D3162" s="2" t="s">
        <v>1988</v>
      </c>
      <c r="E3162" s="2" t="s">
        <v>28</v>
      </c>
      <c r="F3162" s="3">
        <v>43244</v>
      </c>
      <c r="G3162" s="2" t="str">
        <f>"9780813941035"</f>
        <v>9780813941035</v>
      </c>
      <c r="H3162" s="2" t="s">
        <v>14</v>
      </c>
      <c r="I3162" s="4">
        <v>43919.474305555559</v>
      </c>
      <c r="J3162" s="2" t="s">
        <v>1990</v>
      </c>
    </row>
    <row r="3163" spans="1:10" ht="135" x14ac:dyDescent="0.25">
      <c r="A3163" s="2" t="s">
        <v>12</v>
      </c>
      <c r="C3163" s="2" t="s">
        <v>1945</v>
      </c>
      <c r="D3163" s="2" t="s">
        <v>1944</v>
      </c>
      <c r="E3163" s="2" t="s">
        <v>370</v>
      </c>
      <c r="F3163" s="3">
        <v>43742</v>
      </c>
      <c r="G3163" s="2" t="str">
        <f>"9780884144199"</f>
        <v>9780884144199</v>
      </c>
      <c r="H3163" s="2" t="s">
        <v>14</v>
      </c>
      <c r="I3163" s="4">
        <v>43920.62222222222</v>
      </c>
      <c r="J3163" s="2" t="s">
        <v>1946</v>
      </c>
    </row>
    <row r="3164" spans="1:10" ht="135" x14ac:dyDescent="0.25">
      <c r="A3164" s="2" t="s">
        <v>12</v>
      </c>
      <c r="B3164" s="2">
        <v>233.5</v>
      </c>
      <c r="C3164" s="2" t="s">
        <v>1043</v>
      </c>
      <c r="D3164" s="2" t="s">
        <v>1042</v>
      </c>
      <c r="E3164" s="2" t="s">
        <v>674</v>
      </c>
      <c r="F3164" s="3">
        <v>43774</v>
      </c>
      <c r="G3164" s="2" t="str">
        <f>"9780823287031"</f>
        <v>9780823287031</v>
      </c>
      <c r="H3164" s="2" t="s">
        <v>14</v>
      </c>
      <c r="I3164" s="4">
        <v>43967.743055555555</v>
      </c>
      <c r="J3164" s="2" t="s">
        <v>1044</v>
      </c>
    </row>
    <row r="3165" spans="1:10" ht="135" x14ac:dyDescent="0.25">
      <c r="A3165" s="2" t="s">
        <v>12</v>
      </c>
      <c r="B3165" s="2" t="s">
        <v>6614</v>
      </c>
      <c r="C3165" s="2" t="s">
        <v>4589</v>
      </c>
      <c r="D3165" s="2" t="s">
        <v>6613</v>
      </c>
      <c r="E3165" s="2" t="s">
        <v>11</v>
      </c>
      <c r="F3165" s="3">
        <v>41716</v>
      </c>
      <c r="G3165" s="2" t="str">
        <f>"9780813225807"</f>
        <v>9780813225807</v>
      </c>
      <c r="H3165" s="2" t="s">
        <v>14</v>
      </c>
      <c r="I3165" s="4">
        <v>43503.538194444445</v>
      </c>
      <c r="J3165" s="2" t="s">
        <v>6615</v>
      </c>
    </row>
    <row r="3166" spans="1:10" ht="135" x14ac:dyDescent="0.25">
      <c r="A3166" s="2" t="s">
        <v>12</v>
      </c>
      <c r="B3166" s="2" t="s">
        <v>6542</v>
      </c>
      <c r="C3166" s="2" t="s">
        <v>6543</v>
      </c>
      <c r="D3166" s="2" t="s">
        <v>6541</v>
      </c>
      <c r="E3166" s="2" t="s">
        <v>284</v>
      </c>
      <c r="F3166" s="3">
        <v>42094</v>
      </c>
      <c r="G3166" s="2" t="str">
        <f>"9780824854003"</f>
        <v>9780824854003</v>
      </c>
      <c r="H3166" s="2" t="s">
        <v>14</v>
      </c>
      <c r="I3166" s="4">
        <v>43508.929861111108</v>
      </c>
      <c r="J3166" s="2" t="s">
        <v>6544</v>
      </c>
    </row>
    <row r="3167" spans="1:10" ht="135" x14ac:dyDescent="0.25">
      <c r="A3167" s="2" t="s">
        <v>12</v>
      </c>
      <c r="B3167" s="2" t="s">
        <v>5734</v>
      </c>
      <c r="C3167" s="2" t="s">
        <v>5735</v>
      </c>
      <c r="D3167" s="2" t="s">
        <v>5733</v>
      </c>
      <c r="E3167" s="2" t="s">
        <v>121</v>
      </c>
      <c r="F3167" s="3">
        <v>41640</v>
      </c>
      <c r="G3167" s="2" t="str">
        <f>"9781609174064"</f>
        <v>9781609174064</v>
      </c>
      <c r="H3167" s="2" t="s">
        <v>14</v>
      </c>
      <c r="I3167" s="4">
        <v>43577.426388888889</v>
      </c>
      <c r="J3167" s="2" t="s">
        <v>5736</v>
      </c>
    </row>
    <row r="3168" spans="1:10" ht="150" x14ac:dyDescent="0.25">
      <c r="A3168" s="2" t="s">
        <v>12</v>
      </c>
      <c r="D3168" s="2" t="s">
        <v>76</v>
      </c>
      <c r="E3168" s="2" t="s">
        <v>77</v>
      </c>
      <c r="F3168" s="3">
        <v>43220</v>
      </c>
      <c r="G3168" s="2" t="str">
        <f>"9781786075260"</f>
        <v>9781786075260</v>
      </c>
      <c r="H3168" s="2" t="s">
        <v>14</v>
      </c>
      <c r="I3168" s="4">
        <v>44074.559027777781</v>
      </c>
      <c r="J3168" s="2" t="s">
        <v>78</v>
      </c>
    </row>
    <row r="3169" spans="1:10" ht="135" x14ac:dyDescent="0.25">
      <c r="A3169" s="2" t="s">
        <v>12</v>
      </c>
      <c r="B3169" s="2">
        <v>202.16</v>
      </c>
      <c r="C3169" s="2" t="s">
        <v>11344</v>
      </c>
      <c r="D3169" s="2" t="s">
        <v>11343</v>
      </c>
      <c r="E3169" s="2" t="s">
        <v>73</v>
      </c>
      <c r="F3169" s="3">
        <v>41883</v>
      </c>
      <c r="G3169" s="2" t="str">
        <f>"9781937561574"</f>
        <v>9781937561574</v>
      </c>
      <c r="H3169" s="2" t="s">
        <v>14</v>
      </c>
      <c r="I3169" s="4">
        <v>42986.856249999997</v>
      </c>
      <c r="J3169" s="2" t="s">
        <v>11345</v>
      </c>
    </row>
    <row r="3170" spans="1:10" ht="135" x14ac:dyDescent="0.25">
      <c r="A3170" s="2" t="s">
        <v>12</v>
      </c>
      <c r="B3170" s="2">
        <v>270</v>
      </c>
      <c r="C3170" s="2" t="s">
        <v>11030</v>
      </c>
      <c r="D3170" s="2" t="s">
        <v>11029</v>
      </c>
      <c r="E3170" s="2" t="s">
        <v>11</v>
      </c>
      <c r="F3170" s="3">
        <v>37222</v>
      </c>
      <c r="G3170" s="2" t="str">
        <f>"9780813211480"</f>
        <v>9780813211480</v>
      </c>
      <c r="H3170" s="2" t="s">
        <v>14</v>
      </c>
      <c r="I3170" s="4">
        <v>43021.493055555555</v>
      </c>
      <c r="J3170" s="2" t="s">
        <v>11031</v>
      </c>
    </row>
    <row r="3171" spans="1:10" ht="135" x14ac:dyDescent="0.25">
      <c r="A3171" s="2" t="s">
        <v>12</v>
      </c>
      <c r="B3171" s="2">
        <v>264.01402300000001</v>
      </c>
      <c r="C3171" s="2" t="s">
        <v>998</v>
      </c>
      <c r="D3171" s="2" t="s">
        <v>10059</v>
      </c>
      <c r="E3171" s="2" t="s">
        <v>11</v>
      </c>
      <c r="F3171" s="3">
        <v>42103</v>
      </c>
      <c r="G3171" s="2" t="str">
        <f>"9780813227368"</f>
        <v>9780813227368</v>
      </c>
      <c r="H3171" s="2" t="s">
        <v>14</v>
      </c>
      <c r="I3171" s="4">
        <v>43106.677777777775</v>
      </c>
      <c r="J3171" s="2" t="s">
        <v>10060</v>
      </c>
    </row>
    <row r="3172" spans="1:10" ht="135" x14ac:dyDescent="0.25">
      <c r="A3172" s="2" t="s">
        <v>12</v>
      </c>
      <c r="B3172" s="2">
        <v>262.12</v>
      </c>
      <c r="C3172" s="2" t="s">
        <v>12153</v>
      </c>
      <c r="D3172" s="2" t="s">
        <v>12152</v>
      </c>
      <c r="E3172" s="2" t="s">
        <v>11</v>
      </c>
      <c r="F3172" s="3">
        <v>42650</v>
      </c>
      <c r="G3172" s="2" t="str">
        <f>"9780813229119"</f>
        <v>9780813229119</v>
      </c>
      <c r="H3172" s="2" t="s">
        <v>14</v>
      </c>
      <c r="I3172" s="4">
        <v>42844.392361111109</v>
      </c>
      <c r="J3172" s="2" t="s">
        <v>12154</v>
      </c>
    </row>
    <row r="3173" spans="1:10" ht="255" x14ac:dyDescent="0.25">
      <c r="A3173" s="2" t="s">
        <v>12</v>
      </c>
      <c r="B3173" s="2" t="s">
        <v>10952</v>
      </c>
      <c r="C3173" s="2" t="s">
        <v>10953</v>
      </c>
      <c r="D3173" s="2" t="s">
        <v>10951</v>
      </c>
      <c r="E3173" s="2" t="s">
        <v>2089</v>
      </c>
      <c r="F3173" s="3">
        <v>42186</v>
      </c>
      <c r="G3173" s="2" t="str">
        <f>"9781575063683"</f>
        <v>9781575063683</v>
      </c>
      <c r="H3173" s="2" t="s">
        <v>14</v>
      </c>
      <c r="I3173" s="4">
        <v>43026.697916666664</v>
      </c>
      <c r="J3173" s="2" t="s">
        <v>10954</v>
      </c>
    </row>
    <row r="3174" spans="1:10" ht="150" x14ac:dyDescent="0.25">
      <c r="A3174" s="2" t="s">
        <v>12</v>
      </c>
      <c r="B3174" s="2">
        <v>211</v>
      </c>
      <c r="C3174" s="2" t="s">
        <v>5906</v>
      </c>
      <c r="D3174" s="2" t="s">
        <v>5905</v>
      </c>
      <c r="E3174" s="2" t="s">
        <v>69</v>
      </c>
      <c r="F3174" s="3">
        <v>43252</v>
      </c>
      <c r="G3174" s="2" t="str">
        <f>"9780253033338"</f>
        <v>9780253033338</v>
      </c>
      <c r="H3174" s="2" t="s">
        <v>14</v>
      </c>
      <c r="I3174" s="4">
        <v>43560.375694444447</v>
      </c>
      <c r="J3174" s="2" t="s">
        <v>5907</v>
      </c>
    </row>
    <row r="3175" spans="1:10" ht="135" x14ac:dyDescent="0.25">
      <c r="A3175" s="2" t="s">
        <v>12</v>
      </c>
      <c r="B3175" s="2" t="s">
        <v>12225</v>
      </c>
      <c r="C3175" s="2" t="s">
        <v>12226</v>
      </c>
      <c r="D3175" s="2" t="s">
        <v>12224</v>
      </c>
      <c r="E3175" s="2" t="s">
        <v>8233</v>
      </c>
      <c r="F3175" s="3">
        <v>42146</v>
      </c>
      <c r="G3175" s="2" t="str">
        <f>"9781611687330"</f>
        <v>9781611687330</v>
      </c>
      <c r="H3175" s="2" t="s">
        <v>14</v>
      </c>
      <c r="I3175" s="4">
        <v>42828.621527777781</v>
      </c>
      <c r="J3175" s="2" t="s">
        <v>12227</v>
      </c>
    </row>
    <row r="3176" spans="1:10" ht="150" x14ac:dyDescent="0.25">
      <c r="A3176" s="2" t="s">
        <v>12</v>
      </c>
      <c r="B3176" s="2">
        <v>271.52999999999901</v>
      </c>
      <c r="C3176" s="2" t="s">
        <v>13008</v>
      </c>
      <c r="D3176" s="2" t="s">
        <v>13007</v>
      </c>
      <c r="E3176" s="2" t="s">
        <v>499</v>
      </c>
      <c r="F3176" s="3">
        <v>42515</v>
      </c>
      <c r="G3176" s="2" t="str">
        <f>"9781626162884"</f>
        <v>9781626162884</v>
      </c>
      <c r="H3176" s="2" t="s">
        <v>14</v>
      </c>
      <c r="I3176" s="4">
        <v>42746.084027777775</v>
      </c>
      <c r="J3176" s="2" t="s">
        <v>13009</v>
      </c>
    </row>
    <row r="3177" spans="1:10" ht="150" x14ac:dyDescent="0.25">
      <c r="A3177" s="2" t="s">
        <v>12</v>
      </c>
      <c r="B3177" s="2">
        <v>296.39600000000002</v>
      </c>
      <c r="C3177" s="2" t="s">
        <v>1632</v>
      </c>
      <c r="D3177" s="2" t="s">
        <v>7292</v>
      </c>
      <c r="E3177" s="2" t="s">
        <v>37</v>
      </c>
      <c r="F3177" s="3">
        <v>42773</v>
      </c>
      <c r="G3177" s="2" t="str">
        <f>"9783319426013"</f>
        <v>9783319426013</v>
      </c>
      <c r="H3177" s="2" t="s">
        <v>14</v>
      </c>
      <c r="I3177" s="4">
        <v>43427.59375</v>
      </c>
      <c r="J3177" s="2" t="s">
        <v>7293</v>
      </c>
    </row>
    <row r="3178" spans="1:10" ht="135" x14ac:dyDescent="0.25">
      <c r="A3178" s="2" t="s">
        <v>12</v>
      </c>
      <c r="B3178" s="2" t="s">
        <v>8228</v>
      </c>
      <c r="C3178" s="2" t="s">
        <v>1219</v>
      </c>
      <c r="D3178" s="2" t="s">
        <v>8227</v>
      </c>
      <c r="E3178" s="2" t="s">
        <v>54</v>
      </c>
      <c r="F3178" s="3">
        <v>41969</v>
      </c>
      <c r="G3178" s="2" t="str">
        <f>"9780804793216"</f>
        <v>9780804793216</v>
      </c>
      <c r="H3178" s="2" t="s">
        <v>14</v>
      </c>
      <c r="I3178" s="4">
        <v>43334.929166666669</v>
      </c>
      <c r="J3178" s="2" t="s">
        <v>8229</v>
      </c>
    </row>
    <row r="3179" spans="1:10" ht="135" x14ac:dyDescent="0.25">
      <c r="A3179" s="2" t="s">
        <v>12</v>
      </c>
      <c r="B3179" s="2">
        <v>296.09199999999998</v>
      </c>
      <c r="C3179" s="2" t="s">
        <v>12719</v>
      </c>
      <c r="D3179" s="2" t="s">
        <v>12718</v>
      </c>
      <c r="E3179" s="2" t="s">
        <v>69</v>
      </c>
      <c r="F3179" s="3">
        <v>42632</v>
      </c>
      <c r="G3179" s="2" t="str">
        <f>"9780253022325"</f>
        <v>9780253022325</v>
      </c>
      <c r="H3179" s="2" t="s">
        <v>14</v>
      </c>
      <c r="I3179" s="4">
        <v>42780.429861111108</v>
      </c>
      <c r="J3179" s="2" t="s">
        <v>12720</v>
      </c>
    </row>
    <row r="3180" spans="1:10" ht="165" x14ac:dyDescent="0.25">
      <c r="A3180" s="2" t="s">
        <v>12</v>
      </c>
      <c r="B3180" s="2" t="s">
        <v>10249</v>
      </c>
      <c r="C3180" s="2" t="s">
        <v>10250</v>
      </c>
      <c r="D3180" s="2" t="s">
        <v>10248</v>
      </c>
      <c r="E3180" s="2" t="s">
        <v>156</v>
      </c>
      <c r="F3180" s="3">
        <v>42275</v>
      </c>
      <c r="G3180" s="2" t="str">
        <f>"9781469625317"</f>
        <v>9781469625317</v>
      </c>
      <c r="H3180" s="2" t="s">
        <v>14</v>
      </c>
      <c r="I3180" s="4">
        <v>43076.561111111114</v>
      </c>
      <c r="J3180" s="2" t="s">
        <v>10251</v>
      </c>
    </row>
    <row r="3181" spans="1:10" ht="135" x14ac:dyDescent="0.25">
      <c r="A3181" s="2" t="s">
        <v>12</v>
      </c>
      <c r="B3181" s="2">
        <v>220.1</v>
      </c>
      <c r="C3181" s="2" t="s">
        <v>4746</v>
      </c>
      <c r="D3181" s="2" t="s">
        <v>4745</v>
      </c>
      <c r="E3181" s="2" t="s">
        <v>3829</v>
      </c>
      <c r="F3181" s="3">
        <v>41579</v>
      </c>
      <c r="G3181" s="2" t="str">
        <f>"9780830864980"</f>
        <v>9780830864980</v>
      </c>
      <c r="H3181" s="2" t="s">
        <v>14</v>
      </c>
      <c r="I3181" s="4">
        <v>43632.540972222225</v>
      </c>
      <c r="J3181" s="2" t="s">
        <v>4747</v>
      </c>
    </row>
    <row r="3182" spans="1:10" ht="135" x14ac:dyDescent="0.25">
      <c r="A3182" s="2" t="s">
        <v>12</v>
      </c>
      <c r="B3182" s="2">
        <v>233.5</v>
      </c>
      <c r="C3182" s="2" t="s">
        <v>3032</v>
      </c>
      <c r="D3182" s="2" t="s">
        <v>3031</v>
      </c>
      <c r="E3182" s="2" t="s">
        <v>1036</v>
      </c>
      <c r="F3182" s="3">
        <v>42580</v>
      </c>
      <c r="G3182" s="2" t="str">
        <f>"9781498203852"</f>
        <v>9781498203852</v>
      </c>
      <c r="H3182" s="2" t="s">
        <v>14</v>
      </c>
      <c r="I3182" s="4">
        <v>43828.104861111111</v>
      </c>
      <c r="J3182" s="2" t="s">
        <v>3033</v>
      </c>
    </row>
    <row r="3183" spans="1:10" ht="135" x14ac:dyDescent="0.25">
      <c r="A3183" s="2" t="s">
        <v>12</v>
      </c>
      <c r="B3183" s="2">
        <v>271</v>
      </c>
      <c r="C3183" s="2" t="s">
        <v>3683</v>
      </c>
      <c r="D3183" s="2" t="s">
        <v>3682</v>
      </c>
      <c r="E3183" s="2" t="s">
        <v>669</v>
      </c>
      <c r="F3183" s="3">
        <v>43410</v>
      </c>
      <c r="G3183" s="2" t="str">
        <f>"9781493415564"</f>
        <v>9781493415564</v>
      </c>
      <c r="H3183" s="2" t="s">
        <v>14</v>
      </c>
      <c r="I3183" s="4">
        <v>43767.484027777777</v>
      </c>
      <c r="J3183" s="2" t="s">
        <v>3684</v>
      </c>
    </row>
    <row r="3184" spans="1:10" ht="135" x14ac:dyDescent="0.25">
      <c r="A3184" s="2" t="s">
        <v>12</v>
      </c>
      <c r="B3184" s="2">
        <v>282.09199999999998</v>
      </c>
      <c r="C3184" s="2" t="s">
        <v>8506</v>
      </c>
      <c r="D3184" s="2" t="s">
        <v>8505</v>
      </c>
      <c r="E3184" s="2" t="s">
        <v>54</v>
      </c>
      <c r="F3184" s="3">
        <v>42878</v>
      </c>
      <c r="G3184" s="2" t="str">
        <f>"9781503602748"</f>
        <v>9781503602748</v>
      </c>
      <c r="H3184" s="2" t="s">
        <v>14</v>
      </c>
      <c r="I3184" s="4">
        <v>43298.329861111109</v>
      </c>
      <c r="J3184" s="2" t="s">
        <v>8507</v>
      </c>
    </row>
    <row r="3185" spans="1:10" ht="135" x14ac:dyDescent="0.25">
      <c r="A3185" s="2" t="s">
        <v>12</v>
      </c>
      <c r="B3185" s="2">
        <v>229.92060000000001</v>
      </c>
      <c r="C3185" s="2" t="s">
        <v>371</v>
      </c>
      <c r="D3185" s="2" t="s">
        <v>369</v>
      </c>
      <c r="E3185" s="2" t="s">
        <v>370</v>
      </c>
      <c r="F3185" s="3">
        <v>43651</v>
      </c>
      <c r="G3185" s="2" t="str">
        <f>"9780884143987"</f>
        <v>9780884143987</v>
      </c>
      <c r="H3185" s="2" t="s">
        <v>14</v>
      </c>
      <c r="I3185" s="4">
        <v>44032.494444444441</v>
      </c>
      <c r="J3185" s="2" t="s">
        <v>372</v>
      </c>
    </row>
    <row r="3186" spans="1:10" ht="150" x14ac:dyDescent="0.25">
      <c r="A3186" s="2" t="s">
        <v>12</v>
      </c>
      <c r="B3186" s="2">
        <v>230.09200000000001</v>
      </c>
      <c r="C3186" s="2" t="s">
        <v>6197</v>
      </c>
      <c r="D3186" s="2" t="s">
        <v>6196</v>
      </c>
      <c r="E3186" s="2" t="s">
        <v>370</v>
      </c>
      <c r="F3186" s="3">
        <v>42095</v>
      </c>
      <c r="G3186" s="2" t="str">
        <f>"9781628371109"</f>
        <v>9781628371109</v>
      </c>
      <c r="H3186" s="2" t="s">
        <v>14</v>
      </c>
      <c r="I3186" s="4">
        <v>43533.765277777777</v>
      </c>
      <c r="J3186" s="2" t="s">
        <v>6198</v>
      </c>
    </row>
    <row r="3187" spans="1:10" ht="135" x14ac:dyDescent="0.25">
      <c r="A3187" s="2" t="s">
        <v>12</v>
      </c>
      <c r="B3187" s="2">
        <v>296.74</v>
      </c>
      <c r="C3187" s="2" t="s">
        <v>2843</v>
      </c>
      <c r="D3187" s="2" t="s">
        <v>2842</v>
      </c>
      <c r="E3187" s="2" t="s">
        <v>69</v>
      </c>
      <c r="F3187" s="3">
        <v>43244</v>
      </c>
      <c r="G3187" s="2" t="str">
        <f>"9780253034342"</f>
        <v>9780253034342</v>
      </c>
      <c r="H3187" s="2" t="s">
        <v>14</v>
      </c>
      <c r="I3187" s="4">
        <v>43850.418749999997</v>
      </c>
      <c r="J3187" s="2" t="s">
        <v>2844</v>
      </c>
    </row>
    <row r="3188" spans="1:10" ht="135" x14ac:dyDescent="0.25">
      <c r="A3188" s="2" t="s">
        <v>12</v>
      </c>
      <c r="B3188" s="2" t="s">
        <v>10690</v>
      </c>
      <c r="C3188" s="2" t="s">
        <v>2946</v>
      </c>
      <c r="D3188" s="2" t="s">
        <v>10689</v>
      </c>
      <c r="E3188" s="2" t="s">
        <v>11</v>
      </c>
      <c r="F3188" s="3">
        <v>39387</v>
      </c>
      <c r="G3188" s="2" t="str">
        <f>"9780813216942"</f>
        <v>9780813216942</v>
      </c>
      <c r="H3188" s="2" t="s">
        <v>14</v>
      </c>
      <c r="I3188" s="4">
        <v>43042.704861111109</v>
      </c>
      <c r="J3188" s="2" t="s">
        <v>10691</v>
      </c>
    </row>
    <row r="3189" spans="1:10" ht="135" x14ac:dyDescent="0.25">
      <c r="A3189" s="2" t="s">
        <v>12</v>
      </c>
      <c r="B3189" s="2">
        <v>283.09199999999998</v>
      </c>
      <c r="C3189" s="2" t="s">
        <v>9786</v>
      </c>
      <c r="D3189" s="2" t="s">
        <v>9785</v>
      </c>
      <c r="E3189" s="2" t="s">
        <v>221</v>
      </c>
      <c r="F3189" s="3">
        <v>42346</v>
      </c>
      <c r="G3189" s="2" t="str">
        <f>"9789888313785"</f>
        <v>9789888313785</v>
      </c>
      <c r="H3189" s="2" t="s">
        <v>14</v>
      </c>
      <c r="I3189" s="4">
        <v>43130.677083333336</v>
      </c>
      <c r="J3189" s="2" t="s">
        <v>9787</v>
      </c>
    </row>
    <row r="3190" spans="1:10" ht="150" x14ac:dyDescent="0.25">
      <c r="A3190" s="2" t="s">
        <v>12</v>
      </c>
      <c r="B3190" s="2">
        <v>248.40969999999999</v>
      </c>
      <c r="C3190" s="2" t="s">
        <v>10804</v>
      </c>
      <c r="D3190" s="2" t="s">
        <v>10803</v>
      </c>
      <c r="E3190" s="2" t="s">
        <v>156</v>
      </c>
      <c r="F3190" s="3">
        <v>31446</v>
      </c>
      <c r="G3190" s="2" t="str">
        <f>"9781469611310"</f>
        <v>9781469611310</v>
      </c>
      <c r="H3190" s="2" t="s">
        <v>14</v>
      </c>
      <c r="I3190" s="4">
        <v>43035.552777777775</v>
      </c>
      <c r="J3190" s="2" t="s">
        <v>10805</v>
      </c>
    </row>
    <row r="3191" spans="1:10" ht="135" x14ac:dyDescent="0.25">
      <c r="A3191" s="2" t="s">
        <v>12</v>
      </c>
      <c r="B3191" s="2">
        <v>235.4</v>
      </c>
      <c r="C3191" s="2" t="s">
        <v>7674</v>
      </c>
      <c r="D3191" s="2" t="s">
        <v>7673</v>
      </c>
      <c r="E3191" s="2" t="s">
        <v>54</v>
      </c>
      <c r="F3191" s="3">
        <v>42669</v>
      </c>
      <c r="G3191" s="2" t="str">
        <f>"9781503600218"</f>
        <v>9781503600218</v>
      </c>
      <c r="H3191" s="2" t="s">
        <v>14</v>
      </c>
      <c r="I3191" s="4">
        <v>43400.603472222225</v>
      </c>
      <c r="J3191" s="2" t="s">
        <v>7675</v>
      </c>
    </row>
    <row r="3192" spans="1:10" ht="150" x14ac:dyDescent="0.25">
      <c r="A3192" s="2" t="s">
        <v>12</v>
      </c>
      <c r="C3192" s="2" t="s">
        <v>3117</v>
      </c>
      <c r="D3192" s="2" t="s">
        <v>3116</v>
      </c>
      <c r="E3192" s="2" t="s">
        <v>11</v>
      </c>
      <c r="F3192" s="3">
        <v>43313</v>
      </c>
      <c r="G3192" s="2" t="str">
        <f>"9780813230207"</f>
        <v>9780813230207</v>
      </c>
      <c r="H3192" s="2" t="s">
        <v>14</v>
      </c>
      <c r="I3192" s="4">
        <v>43810.245833333334</v>
      </c>
      <c r="J3192" s="2" t="s">
        <v>3118</v>
      </c>
    </row>
    <row r="3193" spans="1:10" ht="135" x14ac:dyDescent="0.25">
      <c r="A3193" s="2" t="s">
        <v>12</v>
      </c>
      <c r="B3193" s="2">
        <v>270.20920000000001</v>
      </c>
      <c r="C3193" s="2" t="s">
        <v>998</v>
      </c>
      <c r="D3193" s="2" t="s">
        <v>997</v>
      </c>
      <c r="E3193" s="2" t="s">
        <v>11</v>
      </c>
      <c r="F3193" s="3">
        <v>42608</v>
      </c>
      <c r="G3193" s="2" t="str">
        <f>"9780813228891"</f>
        <v>9780813228891</v>
      </c>
      <c r="H3193" s="2" t="s">
        <v>14</v>
      </c>
      <c r="I3193" s="4">
        <v>43970.013888888891</v>
      </c>
      <c r="J3193" s="2" t="s">
        <v>999</v>
      </c>
    </row>
    <row r="3194" spans="1:10" ht="135" x14ac:dyDescent="0.25">
      <c r="A3194" s="2" t="s">
        <v>12</v>
      </c>
      <c r="B3194" s="2">
        <v>236.8</v>
      </c>
      <c r="C3194" s="2" t="s">
        <v>1490</v>
      </c>
      <c r="D3194" s="2" t="s">
        <v>1489</v>
      </c>
      <c r="E3194" s="2" t="s">
        <v>730</v>
      </c>
      <c r="F3194" s="3">
        <v>37622</v>
      </c>
      <c r="G3194" s="2" t="str">
        <f>"9780281067503"</f>
        <v>9780281067503</v>
      </c>
      <c r="H3194" s="2" t="s">
        <v>14</v>
      </c>
      <c r="I3194" s="4">
        <v>43941.509027777778</v>
      </c>
      <c r="J3194" s="2" t="s">
        <v>1491</v>
      </c>
    </row>
    <row r="3195" spans="1:10" ht="135" x14ac:dyDescent="0.25">
      <c r="A3195" s="2" t="s">
        <v>12</v>
      </c>
      <c r="B3195" s="2">
        <v>239.3</v>
      </c>
      <c r="C3195" s="2" t="s">
        <v>1926</v>
      </c>
      <c r="D3195" s="2" t="s">
        <v>1925</v>
      </c>
      <c r="E3195" s="2" t="s">
        <v>11</v>
      </c>
      <c r="F3195" s="3">
        <v>43756</v>
      </c>
      <c r="G3195" s="2" t="str">
        <f>"9780813232614"</f>
        <v>9780813232614</v>
      </c>
      <c r="H3195" s="2" t="s">
        <v>14</v>
      </c>
      <c r="I3195" s="4">
        <v>43920.807638888888</v>
      </c>
      <c r="J3195" s="2" t="s">
        <v>1927</v>
      </c>
    </row>
    <row r="3196" spans="1:10" ht="135" x14ac:dyDescent="0.25">
      <c r="A3196" s="2" t="s">
        <v>12</v>
      </c>
      <c r="B3196" s="2" t="s">
        <v>6804</v>
      </c>
      <c r="C3196" s="2" t="s">
        <v>6805</v>
      </c>
      <c r="D3196" s="2" t="s">
        <v>6803</v>
      </c>
      <c r="E3196" s="2" t="s">
        <v>69</v>
      </c>
      <c r="F3196" s="3">
        <v>42989</v>
      </c>
      <c r="G3196" s="2" t="str">
        <f>"9780253029898"</f>
        <v>9780253029898</v>
      </c>
      <c r="H3196" s="2" t="s">
        <v>14</v>
      </c>
      <c r="I3196" s="4">
        <v>43485.470138888886</v>
      </c>
      <c r="J3196" s="2" t="s">
        <v>6806</v>
      </c>
    </row>
    <row r="3197" spans="1:10" ht="135" x14ac:dyDescent="0.25">
      <c r="A3197" s="2" t="s">
        <v>12</v>
      </c>
      <c r="B3197" s="2">
        <v>264</v>
      </c>
      <c r="C3197" s="2" t="s">
        <v>731</v>
      </c>
      <c r="D3197" s="2" t="s">
        <v>729</v>
      </c>
      <c r="E3197" s="2" t="s">
        <v>730</v>
      </c>
      <c r="F3197" s="3">
        <v>42019</v>
      </c>
      <c r="G3197" s="2" t="str">
        <f>"9780281069552"</f>
        <v>9780281069552</v>
      </c>
      <c r="H3197" s="2" t="s">
        <v>14</v>
      </c>
      <c r="I3197" s="4">
        <v>43994.604861111111</v>
      </c>
      <c r="J3197" s="2" t="s">
        <v>732</v>
      </c>
    </row>
    <row r="3198" spans="1:10" ht="135" x14ac:dyDescent="0.25">
      <c r="A3198" s="2" t="s">
        <v>12</v>
      </c>
      <c r="B3198" s="2" t="s">
        <v>1669</v>
      </c>
      <c r="C3198" s="2" t="s">
        <v>1670</v>
      </c>
      <c r="D3198" s="2" t="s">
        <v>1668</v>
      </c>
      <c r="E3198" s="2" t="s">
        <v>585</v>
      </c>
      <c r="F3198" s="3">
        <v>43546</v>
      </c>
      <c r="G3198" s="2" t="str">
        <f>"9780226609096"</f>
        <v>9780226609096</v>
      </c>
      <c r="H3198" s="2" t="s">
        <v>14</v>
      </c>
      <c r="I3198" s="4">
        <v>43933.95</v>
      </c>
      <c r="J3198" s="2" t="s">
        <v>1671</v>
      </c>
    </row>
    <row r="3199" spans="1:10" ht="135" x14ac:dyDescent="0.25">
      <c r="A3199" s="2" t="s">
        <v>12</v>
      </c>
      <c r="B3199" s="2">
        <v>272</v>
      </c>
      <c r="C3199" s="2" t="s">
        <v>7814</v>
      </c>
      <c r="D3199" s="2" t="s">
        <v>7813</v>
      </c>
      <c r="E3199" s="2" t="s">
        <v>11</v>
      </c>
      <c r="F3199" s="3">
        <v>42480</v>
      </c>
      <c r="G3199" s="2" t="str">
        <f>"9780813228549"</f>
        <v>9780813228549</v>
      </c>
      <c r="H3199" s="2" t="s">
        <v>14</v>
      </c>
      <c r="I3199" s="4">
        <v>43387.746527777781</v>
      </c>
      <c r="J3199" s="2" t="s">
        <v>7815</v>
      </c>
    </row>
    <row r="3200" spans="1:10" ht="135" x14ac:dyDescent="0.25">
      <c r="A3200" s="2" t="s">
        <v>12</v>
      </c>
      <c r="B3200" s="2">
        <v>261.27</v>
      </c>
      <c r="C3200" s="2" t="s">
        <v>4116</v>
      </c>
      <c r="D3200" s="2" t="s">
        <v>4115</v>
      </c>
      <c r="E3200" s="2" t="s">
        <v>216</v>
      </c>
      <c r="F3200" s="3">
        <v>42979</v>
      </c>
      <c r="G3200" s="2" t="str">
        <f>"9781438466194"</f>
        <v>9781438466194</v>
      </c>
      <c r="H3200" s="2" t="s">
        <v>14</v>
      </c>
      <c r="I3200" s="4">
        <v>43712.211111111108</v>
      </c>
      <c r="J3200" s="2" t="s">
        <v>4117</v>
      </c>
    </row>
    <row r="3201" spans="1:10" ht="135" x14ac:dyDescent="0.25">
      <c r="A3201" s="2" t="s">
        <v>12</v>
      </c>
      <c r="B3201" s="2">
        <v>261.2</v>
      </c>
      <c r="C3201" s="2" t="s">
        <v>3448</v>
      </c>
      <c r="D3201" s="2" t="s">
        <v>3447</v>
      </c>
      <c r="E3201" s="2" t="s">
        <v>11</v>
      </c>
      <c r="F3201" s="3">
        <v>42826</v>
      </c>
      <c r="G3201" s="2" t="str">
        <f>"9780813229478"</f>
        <v>9780813229478</v>
      </c>
      <c r="H3201" s="2" t="s">
        <v>14</v>
      </c>
      <c r="I3201" s="4">
        <v>43781.707638888889</v>
      </c>
      <c r="J3201" s="2" t="s">
        <v>3449</v>
      </c>
    </row>
    <row r="3202" spans="1:10" ht="135" x14ac:dyDescent="0.25">
      <c r="A3202" s="2" t="s">
        <v>12</v>
      </c>
      <c r="B3202" s="2" t="s">
        <v>9792</v>
      </c>
      <c r="C3202" s="2" t="s">
        <v>9793</v>
      </c>
      <c r="D3202" s="2" t="s">
        <v>9791</v>
      </c>
      <c r="E3202" s="2" t="s">
        <v>11</v>
      </c>
      <c r="F3202" s="3">
        <v>42038</v>
      </c>
      <c r="G3202" s="2" t="str">
        <f>"9780813226866"</f>
        <v>9780813226866</v>
      </c>
      <c r="H3202" s="2" t="s">
        <v>14</v>
      </c>
      <c r="I3202" s="4">
        <v>43129.87777777778</v>
      </c>
      <c r="J3202" s="2" t="s">
        <v>9794</v>
      </c>
    </row>
    <row r="3203" spans="1:10" ht="165" x14ac:dyDescent="0.25">
      <c r="A3203" s="2" t="s">
        <v>12</v>
      </c>
      <c r="B3203" s="2" t="s">
        <v>13004</v>
      </c>
      <c r="C3203" s="2" t="s">
        <v>13005</v>
      </c>
      <c r="D3203" s="2" t="s">
        <v>13003</v>
      </c>
      <c r="E3203" s="2" t="s">
        <v>156</v>
      </c>
      <c r="F3203" s="3">
        <v>42338</v>
      </c>
      <c r="G3203" s="2" t="str">
        <f>"9781469624952"</f>
        <v>9781469624952</v>
      </c>
      <c r="H3203" s="2" t="s">
        <v>14</v>
      </c>
      <c r="I3203" s="4">
        <v>42746.084027777775</v>
      </c>
      <c r="J3203" s="2" t="s">
        <v>13006</v>
      </c>
    </row>
    <row r="3204" spans="1:10" ht="135" x14ac:dyDescent="0.25">
      <c r="A3204" s="2" t="s">
        <v>12</v>
      </c>
      <c r="B3204" s="2">
        <v>261.7</v>
      </c>
      <c r="C3204" s="2" t="s">
        <v>992</v>
      </c>
      <c r="D3204" s="2" t="s">
        <v>991</v>
      </c>
      <c r="E3204" s="2" t="s">
        <v>11</v>
      </c>
      <c r="F3204" s="3">
        <v>42079</v>
      </c>
      <c r="G3204" s="2" t="str">
        <f>"9780813227245"</f>
        <v>9780813227245</v>
      </c>
      <c r="H3204" s="2" t="s">
        <v>14</v>
      </c>
      <c r="I3204" s="4">
        <v>43970.163888888892</v>
      </c>
      <c r="J3204" s="2" t="s">
        <v>993</v>
      </c>
    </row>
    <row r="3205" spans="1:10" ht="135" x14ac:dyDescent="0.25">
      <c r="A3205" s="2" t="s">
        <v>12</v>
      </c>
      <c r="B3205" s="2" t="s">
        <v>11819</v>
      </c>
      <c r="C3205" s="2" t="s">
        <v>11820</v>
      </c>
      <c r="D3205" s="2" t="s">
        <v>11818</v>
      </c>
      <c r="E3205" s="2" t="s">
        <v>156</v>
      </c>
      <c r="F3205" s="3">
        <v>42485</v>
      </c>
      <c r="G3205" s="2" t="str">
        <f>"9781469627434"</f>
        <v>9781469627434</v>
      </c>
      <c r="H3205" s="2" t="s">
        <v>14</v>
      </c>
      <c r="I3205" s="4">
        <v>42885.629861111112</v>
      </c>
      <c r="J3205" s="2" t="s">
        <v>11821</v>
      </c>
    </row>
    <row r="3206" spans="1:10" ht="135" x14ac:dyDescent="0.25">
      <c r="A3206" s="2" t="s">
        <v>12</v>
      </c>
      <c r="B3206" s="2">
        <v>222.10659999999999</v>
      </c>
      <c r="C3206" s="2" t="s">
        <v>385</v>
      </c>
      <c r="D3206" s="2" t="s">
        <v>384</v>
      </c>
      <c r="E3206" s="2" t="s">
        <v>370</v>
      </c>
      <c r="F3206" s="3">
        <v>42186</v>
      </c>
      <c r="G3206" s="2" t="str">
        <f>"9780884140634"</f>
        <v>9780884140634</v>
      </c>
      <c r="H3206" s="2" t="s">
        <v>14</v>
      </c>
      <c r="I3206" s="4">
        <v>44029.327777777777</v>
      </c>
      <c r="J3206" s="2" t="s">
        <v>386</v>
      </c>
    </row>
    <row r="3207" spans="1:10" ht="135" x14ac:dyDescent="0.25">
      <c r="A3207" s="2" t="s">
        <v>12</v>
      </c>
      <c r="B3207" s="2" t="s">
        <v>2531</v>
      </c>
      <c r="C3207" s="2" t="s">
        <v>2532</v>
      </c>
      <c r="D3207" s="2" t="s">
        <v>2530</v>
      </c>
      <c r="E3207" s="2" t="s">
        <v>370</v>
      </c>
      <c r="F3207" s="3">
        <v>43383</v>
      </c>
      <c r="G3207" s="2" t="str">
        <f>"9780884143161"</f>
        <v>9780884143161</v>
      </c>
      <c r="H3207" s="2" t="s">
        <v>14</v>
      </c>
      <c r="I3207" s="4">
        <v>43878.658333333333</v>
      </c>
      <c r="J3207" s="2" t="s">
        <v>2533</v>
      </c>
    </row>
    <row r="3208" spans="1:10" ht="180" x14ac:dyDescent="0.25">
      <c r="A3208" s="2" t="s">
        <v>12</v>
      </c>
      <c r="B3208" s="2">
        <v>283.09199999999998</v>
      </c>
      <c r="C3208" s="2" t="s">
        <v>10807</v>
      </c>
      <c r="D3208" s="2" t="s">
        <v>10806</v>
      </c>
      <c r="E3208" s="2" t="s">
        <v>3481</v>
      </c>
      <c r="F3208" s="3">
        <v>42643</v>
      </c>
      <c r="G3208" s="2" t="str">
        <f>"9781775587071"</f>
        <v>9781775587071</v>
      </c>
      <c r="H3208" s="2" t="s">
        <v>14</v>
      </c>
      <c r="I3208" s="4">
        <v>43035.43472222222</v>
      </c>
      <c r="J3208" s="2" t="s">
        <v>10808</v>
      </c>
    </row>
    <row r="3209" spans="1:10" ht="135" x14ac:dyDescent="0.25">
      <c r="A3209" s="2" t="s">
        <v>12</v>
      </c>
      <c r="B3209" s="2">
        <v>202.2</v>
      </c>
      <c r="C3209" s="2" t="s">
        <v>1339</v>
      </c>
      <c r="D3209" s="2" t="s">
        <v>1338</v>
      </c>
      <c r="E3209" s="2" t="s">
        <v>436</v>
      </c>
      <c r="F3209" s="3">
        <v>40258</v>
      </c>
      <c r="G3209" s="2" t="str">
        <f>"9780567428363"</f>
        <v>9780567428363</v>
      </c>
      <c r="H3209" s="2" t="s">
        <v>14</v>
      </c>
      <c r="I3209" s="4">
        <v>43948.466666666667</v>
      </c>
      <c r="J3209" s="2" t="s">
        <v>1340</v>
      </c>
    </row>
    <row r="3210" spans="1:10" ht="135" x14ac:dyDescent="0.25">
      <c r="A3210" s="2" t="s">
        <v>12</v>
      </c>
      <c r="B3210" s="2">
        <v>230.01</v>
      </c>
      <c r="C3210" s="2" t="s">
        <v>4589</v>
      </c>
      <c r="D3210" s="2" t="s">
        <v>11686</v>
      </c>
      <c r="E3210" s="2" t="s">
        <v>11</v>
      </c>
      <c r="F3210" s="3">
        <v>42429</v>
      </c>
      <c r="G3210" s="2" t="str">
        <f>"9780813228402"</f>
        <v>9780813228402</v>
      </c>
      <c r="H3210" s="2" t="s">
        <v>14</v>
      </c>
      <c r="I3210" s="4">
        <v>42912.595138888886</v>
      </c>
      <c r="J3210" s="2" t="s">
        <v>11687</v>
      </c>
    </row>
    <row r="3211" spans="1:10" ht="135" x14ac:dyDescent="0.25">
      <c r="A3211" s="2" t="s">
        <v>12</v>
      </c>
      <c r="B3211" s="2">
        <v>222.10599999999999</v>
      </c>
      <c r="C3211" s="2" t="s">
        <v>2481</v>
      </c>
      <c r="D3211" s="2" t="s">
        <v>2480</v>
      </c>
      <c r="E3211" s="2" t="s">
        <v>1188</v>
      </c>
      <c r="F3211" s="3">
        <v>42675</v>
      </c>
      <c r="G3211" s="2" t="str">
        <f>"9780827613256"</f>
        <v>9780827613256</v>
      </c>
      <c r="H3211" s="2" t="s">
        <v>14</v>
      </c>
      <c r="I3211" s="4">
        <v>43882.525694444441</v>
      </c>
      <c r="J3211" s="2" t="s">
        <v>2482</v>
      </c>
    </row>
    <row r="3212" spans="1:10" ht="165" x14ac:dyDescent="0.25">
      <c r="A3212" s="2" t="s">
        <v>12</v>
      </c>
      <c r="B3212" s="2">
        <v>297.87</v>
      </c>
      <c r="C3212" s="2" t="s">
        <v>802</v>
      </c>
      <c r="D3212" s="2" t="s">
        <v>801</v>
      </c>
      <c r="E3212" s="2" t="s">
        <v>156</v>
      </c>
      <c r="F3212" s="3">
        <v>43843</v>
      </c>
      <c r="G3212" s="2" t="str">
        <f>"9781469653846"</f>
        <v>9781469653846</v>
      </c>
      <c r="H3212" s="2" t="s">
        <v>14</v>
      </c>
      <c r="I3212" s="4">
        <v>43986.407638888886</v>
      </c>
      <c r="J3212" s="2" t="s">
        <v>803</v>
      </c>
    </row>
    <row r="3213" spans="1:10" ht="135" x14ac:dyDescent="0.25">
      <c r="A3213" s="2" t="s">
        <v>12</v>
      </c>
      <c r="B3213" s="2">
        <v>289.30919999999998</v>
      </c>
      <c r="C3213" s="2" t="s">
        <v>579</v>
      </c>
      <c r="D3213" s="2" t="s">
        <v>577</v>
      </c>
      <c r="E3213" s="2" t="s">
        <v>578</v>
      </c>
      <c r="F3213" s="3">
        <v>43526</v>
      </c>
      <c r="G3213" s="2" t="str">
        <f>"9780252051081"</f>
        <v>9780252051081</v>
      </c>
      <c r="H3213" s="2" t="s">
        <v>14</v>
      </c>
      <c r="I3213" s="4">
        <v>44010.832638888889</v>
      </c>
      <c r="J3213" s="2" t="s">
        <v>580</v>
      </c>
    </row>
    <row r="3214" spans="1:10" ht="150" x14ac:dyDescent="0.25">
      <c r="A3214" s="2" t="s">
        <v>12</v>
      </c>
      <c r="B3214" s="2" t="s">
        <v>11183</v>
      </c>
      <c r="C3214" s="2" t="s">
        <v>11184</v>
      </c>
      <c r="D3214" s="2" t="s">
        <v>11182</v>
      </c>
      <c r="E3214" s="2" t="s">
        <v>10532</v>
      </c>
      <c r="F3214" s="3">
        <v>42486</v>
      </c>
      <c r="G3214" s="2" t="str">
        <f>"9780520963634"</f>
        <v>9780520963634</v>
      </c>
      <c r="H3214" s="2" t="s">
        <v>14</v>
      </c>
      <c r="I3214" s="4">
        <v>43009.595138888886</v>
      </c>
      <c r="J3214" s="2" t="s">
        <v>11185</v>
      </c>
    </row>
    <row r="3215" spans="1:10" ht="135" x14ac:dyDescent="0.25">
      <c r="A3215" s="2" t="s">
        <v>12</v>
      </c>
      <c r="B3215" s="2" t="s">
        <v>11257</v>
      </c>
      <c r="C3215" s="2" t="s">
        <v>998</v>
      </c>
      <c r="D3215" s="2" t="s">
        <v>11256</v>
      </c>
      <c r="E3215" s="2" t="s">
        <v>11</v>
      </c>
      <c r="F3215" s="3">
        <v>39479</v>
      </c>
      <c r="G3215" s="2" t="str">
        <f>"9780813217017"</f>
        <v>9780813217017</v>
      </c>
      <c r="H3215" s="2" t="s">
        <v>14</v>
      </c>
      <c r="I3215" s="4">
        <v>42998.506249999999</v>
      </c>
      <c r="J3215" s="2" t="s">
        <v>11258</v>
      </c>
    </row>
    <row r="3216" spans="1:10" ht="135" x14ac:dyDescent="0.25">
      <c r="A3216" s="2" t="s">
        <v>12</v>
      </c>
      <c r="B3216" s="2">
        <v>230.14</v>
      </c>
      <c r="C3216" s="2" t="s">
        <v>11030</v>
      </c>
      <c r="D3216" s="2" t="s">
        <v>11857</v>
      </c>
      <c r="E3216" s="2" t="s">
        <v>11</v>
      </c>
      <c r="F3216" s="3">
        <v>20271</v>
      </c>
      <c r="G3216" s="2" t="str">
        <f>"9780813211275"</f>
        <v>9780813211275</v>
      </c>
      <c r="H3216" s="2" t="s">
        <v>14</v>
      </c>
      <c r="I3216" s="4">
        <v>42880.554166666669</v>
      </c>
      <c r="J3216" s="2" t="s">
        <v>11858</v>
      </c>
    </row>
    <row r="3217" spans="1:10" ht="135" x14ac:dyDescent="0.25">
      <c r="A3217" s="2" t="s">
        <v>12</v>
      </c>
      <c r="B3217" s="2">
        <v>230</v>
      </c>
      <c r="C3217" s="2" t="s">
        <v>11678</v>
      </c>
      <c r="D3217" s="2" t="s">
        <v>11677</v>
      </c>
      <c r="E3217" s="2" t="s">
        <v>2089</v>
      </c>
      <c r="F3217" s="3">
        <v>42278</v>
      </c>
      <c r="G3217" s="2" t="str">
        <f>"9781575064123"</f>
        <v>9781575064123</v>
      </c>
      <c r="H3217" s="2" t="s">
        <v>14</v>
      </c>
      <c r="I3217" s="4">
        <v>42913.351388888892</v>
      </c>
      <c r="J3217" s="2" t="s">
        <v>11679</v>
      </c>
    </row>
    <row r="3218" spans="1:10" ht="135" x14ac:dyDescent="0.25">
      <c r="A3218" s="2" t="s">
        <v>12</v>
      </c>
      <c r="D3218" s="2" t="s">
        <v>1604</v>
      </c>
      <c r="E3218" s="2" t="s">
        <v>1184</v>
      </c>
      <c r="F3218" s="3">
        <v>42703</v>
      </c>
      <c r="G3218" s="2" t="str">
        <f>"9780310528647"</f>
        <v>9780310528647</v>
      </c>
      <c r="H3218" s="2" t="s">
        <v>14</v>
      </c>
      <c r="I3218" s="4">
        <v>43935.597916666666</v>
      </c>
      <c r="J3218" s="2" t="s">
        <v>1605</v>
      </c>
    </row>
    <row r="3219" spans="1:10" ht="135" x14ac:dyDescent="0.25">
      <c r="A3219" s="2" t="s">
        <v>12</v>
      </c>
      <c r="B3219" s="2" t="s">
        <v>3830</v>
      </c>
      <c r="C3219" s="2" t="s">
        <v>3831</v>
      </c>
      <c r="D3219" s="2" t="s">
        <v>3828</v>
      </c>
      <c r="E3219" s="2" t="s">
        <v>3829</v>
      </c>
      <c r="F3219" s="3">
        <v>42146</v>
      </c>
      <c r="G3219" s="2" t="str">
        <f>"9780830898602"</f>
        <v>9780830898602</v>
      </c>
      <c r="H3219" s="2" t="s">
        <v>14</v>
      </c>
      <c r="I3219" s="4">
        <v>43752.447916666664</v>
      </c>
      <c r="J3219" s="2" t="s">
        <v>3832</v>
      </c>
    </row>
    <row r="3220" spans="1:10" ht="135" x14ac:dyDescent="0.25">
      <c r="A3220" s="2" t="s">
        <v>12</v>
      </c>
      <c r="B3220" s="2">
        <v>248</v>
      </c>
      <c r="C3220" s="2" t="s">
        <v>12582</v>
      </c>
      <c r="D3220" s="2" t="s">
        <v>12581</v>
      </c>
      <c r="E3220" s="2" t="s">
        <v>11</v>
      </c>
      <c r="F3220" s="3">
        <v>38777</v>
      </c>
      <c r="G3220" s="2" t="str">
        <f>"9780813216287"</f>
        <v>9780813216287</v>
      </c>
      <c r="H3220" s="2" t="s">
        <v>14</v>
      </c>
      <c r="I3220" s="4">
        <v>42793.677777777775</v>
      </c>
      <c r="J3220" s="2" t="s">
        <v>12583</v>
      </c>
    </row>
    <row r="3221" spans="1:10" ht="135" x14ac:dyDescent="0.25">
      <c r="A3221" s="2" t="s">
        <v>12</v>
      </c>
      <c r="B3221" s="2">
        <v>297.822092</v>
      </c>
      <c r="C3221" s="2" t="s">
        <v>8988</v>
      </c>
      <c r="D3221" s="2" t="s">
        <v>8987</v>
      </c>
      <c r="E3221" s="2" t="s">
        <v>216</v>
      </c>
      <c r="F3221" s="3">
        <v>42979</v>
      </c>
      <c r="G3221" s="2" t="str">
        <f>"9781438466286"</f>
        <v>9781438466286</v>
      </c>
      <c r="H3221" s="2" t="s">
        <v>14</v>
      </c>
      <c r="I3221" s="4">
        <v>43229.704861111109</v>
      </c>
      <c r="J3221" s="2" t="s">
        <v>8989</v>
      </c>
    </row>
    <row r="3222" spans="1:10" ht="135" x14ac:dyDescent="0.25">
      <c r="A3222" s="2" t="s">
        <v>12</v>
      </c>
      <c r="B3222" s="2">
        <v>299.6832</v>
      </c>
      <c r="C3222" s="2" t="s">
        <v>8210</v>
      </c>
      <c r="D3222" s="2" t="s">
        <v>8209</v>
      </c>
      <c r="E3222" s="2" t="s">
        <v>69</v>
      </c>
      <c r="F3222" s="3">
        <v>42317</v>
      </c>
      <c r="G3222" s="2" t="str">
        <f>"9780253017918"</f>
        <v>9780253017918</v>
      </c>
      <c r="H3222" s="2" t="s">
        <v>14</v>
      </c>
      <c r="I3222" s="4">
        <v>43340.79791666667</v>
      </c>
      <c r="J3222" s="2" t="s">
        <v>8211</v>
      </c>
    </row>
    <row r="3223" spans="1:10" ht="135" x14ac:dyDescent="0.25">
      <c r="A3223" s="2" t="s">
        <v>12</v>
      </c>
      <c r="B3223" s="2">
        <v>231</v>
      </c>
      <c r="C3223" s="2" t="s">
        <v>12496</v>
      </c>
      <c r="D3223" s="2" t="s">
        <v>12495</v>
      </c>
      <c r="E3223" s="2" t="s">
        <v>2089</v>
      </c>
      <c r="F3223" s="3">
        <v>42064</v>
      </c>
      <c r="G3223" s="2" t="str">
        <f>"9781575067223"</f>
        <v>9781575067223</v>
      </c>
      <c r="H3223" s="2" t="s">
        <v>14</v>
      </c>
      <c r="I3223" s="4">
        <v>42801.579861111109</v>
      </c>
      <c r="J3223" s="2" t="s">
        <v>12497</v>
      </c>
    </row>
    <row r="3224" spans="1:10" ht="135" x14ac:dyDescent="0.25">
      <c r="A3224" s="2" t="s">
        <v>12</v>
      </c>
      <c r="B3224" s="2" t="s">
        <v>11736</v>
      </c>
      <c r="C3224" s="2" t="s">
        <v>11737</v>
      </c>
      <c r="D3224" s="2" t="s">
        <v>11735</v>
      </c>
      <c r="E3224" s="2" t="s">
        <v>578</v>
      </c>
      <c r="F3224" s="3">
        <v>38995</v>
      </c>
      <c r="G3224" s="2" t="str">
        <f>"9780252092718"</f>
        <v>9780252092718</v>
      </c>
      <c r="H3224" s="2" t="s">
        <v>14</v>
      </c>
      <c r="I3224" s="4">
        <v>42903.944444444445</v>
      </c>
      <c r="J3224" s="2" t="s">
        <v>11738</v>
      </c>
    </row>
    <row r="3225" spans="1:10" ht="135" x14ac:dyDescent="0.25">
      <c r="A3225" s="2" t="s">
        <v>12</v>
      </c>
      <c r="B3225" s="2">
        <v>210.14</v>
      </c>
      <c r="C3225" s="2" t="s">
        <v>7755</v>
      </c>
      <c r="D3225" s="2" t="s">
        <v>7754</v>
      </c>
      <c r="E3225" s="2" t="s">
        <v>674</v>
      </c>
      <c r="F3225" s="3">
        <v>41958</v>
      </c>
      <c r="G3225" s="2" t="str">
        <f>"9780823255597"</f>
        <v>9780823255597</v>
      </c>
      <c r="H3225" s="2" t="s">
        <v>14</v>
      </c>
      <c r="I3225" s="4">
        <v>43391.7</v>
      </c>
      <c r="J3225" s="2" t="s">
        <v>7756</v>
      </c>
    </row>
    <row r="3226" spans="1:10" ht="135" x14ac:dyDescent="0.25">
      <c r="A3226" s="2" t="s">
        <v>12</v>
      </c>
      <c r="B3226" s="2">
        <v>281.39999999999998</v>
      </c>
      <c r="C3226" s="2" t="s">
        <v>11030</v>
      </c>
      <c r="D3226" s="2" t="s">
        <v>12912</v>
      </c>
      <c r="E3226" s="2" t="s">
        <v>11</v>
      </c>
      <c r="F3226" s="3">
        <v>21459</v>
      </c>
      <c r="G3226" s="2" t="str">
        <f>"9780813211374"</f>
        <v>9780813211374</v>
      </c>
      <c r="H3226" s="2" t="s">
        <v>14</v>
      </c>
      <c r="I3226" s="4">
        <v>42760.402083333334</v>
      </c>
      <c r="J3226" s="2" t="s">
        <v>12913</v>
      </c>
    </row>
    <row r="3227" spans="1:10" ht="135" x14ac:dyDescent="0.25">
      <c r="A3227" s="2" t="s">
        <v>12</v>
      </c>
      <c r="B3227" s="2">
        <v>239.9</v>
      </c>
      <c r="C3227" s="2" t="s">
        <v>10940</v>
      </c>
      <c r="D3227" s="2" t="s">
        <v>10939</v>
      </c>
      <c r="E3227" s="2" t="s">
        <v>11</v>
      </c>
      <c r="F3227" s="3">
        <v>42501</v>
      </c>
      <c r="G3227" s="2" t="str">
        <f>"9780813228600"</f>
        <v>9780813228600</v>
      </c>
      <c r="H3227" s="2" t="s">
        <v>14</v>
      </c>
      <c r="I3227" s="4">
        <v>43027.606249999997</v>
      </c>
      <c r="J3227" s="2" t="s">
        <v>10941</v>
      </c>
    </row>
    <row r="3228" spans="1:10" ht="135" x14ac:dyDescent="0.25">
      <c r="A3228" s="2" t="s">
        <v>12</v>
      </c>
      <c r="B3228" s="2" t="s">
        <v>12791</v>
      </c>
      <c r="C3228" s="2" t="s">
        <v>12792</v>
      </c>
      <c r="D3228" s="2" t="s">
        <v>12790</v>
      </c>
      <c r="E3228" s="2" t="s">
        <v>284</v>
      </c>
      <c r="F3228" s="3">
        <v>42094</v>
      </c>
      <c r="G3228" s="2" t="str">
        <f>"9780824854256"</f>
        <v>9780824854256</v>
      </c>
      <c r="H3228" s="2" t="s">
        <v>14</v>
      </c>
      <c r="I3228" s="4">
        <v>42774.418749999997</v>
      </c>
      <c r="J3228" s="2" t="s">
        <v>12793</v>
      </c>
    </row>
    <row r="3229" spans="1:10" ht="135" x14ac:dyDescent="0.25">
      <c r="A3229" s="2" t="s">
        <v>3098</v>
      </c>
      <c r="B3229" s="2" t="s">
        <v>10567</v>
      </c>
      <c r="C3229" s="2" t="s">
        <v>2532</v>
      </c>
      <c r="D3229" s="2" t="s">
        <v>10566</v>
      </c>
      <c r="E3229" s="2" t="s">
        <v>8233</v>
      </c>
      <c r="F3229" s="3">
        <v>42177</v>
      </c>
      <c r="G3229" s="2" t="str">
        <f>"9781611687798"</f>
        <v>9781611687798</v>
      </c>
      <c r="H3229" s="2" t="s">
        <v>14</v>
      </c>
      <c r="I3229" s="4">
        <v>43049.73333333333</v>
      </c>
      <c r="J3229" s="2" t="s">
        <v>10568</v>
      </c>
    </row>
    <row r="3230" spans="1:10" ht="150" x14ac:dyDescent="0.25">
      <c r="A3230" s="2" t="s">
        <v>3098</v>
      </c>
      <c r="B3230" s="2">
        <v>203.7</v>
      </c>
      <c r="C3230" s="2" t="s">
        <v>3099</v>
      </c>
      <c r="D3230" s="2" t="s">
        <v>3097</v>
      </c>
      <c r="E3230" s="2" t="s">
        <v>216</v>
      </c>
      <c r="F3230" s="3">
        <v>43709</v>
      </c>
      <c r="G3230" s="2" t="str">
        <f>"9781438475776"</f>
        <v>9781438475776</v>
      </c>
      <c r="H3230" s="2" t="s">
        <v>14</v>
      </c>
      <c r="I3230" s="4">
        <v>43812.777777777781</v>
      </c>
      <c r="J3230" s="2" t="s">
        <v>3100</v>
      </c>
    </row>
    <row r="3231" spans="1:10" ht="150" x14ac:dyDescent="0.25">
      <c r="A3231" s="2" t="s">
        <v>7459</v>
      </c>
      <c r="B3231" s="2">
        <v>1.9</v>
      </c>
      <c r="C3231" s="2" t="s">
        <v>7460</v>
      </c>
      <c r="D3231" s="2" t="s">
        <v>7458</v>
      </c>
      <c r="E3231" s="2" t="s">
        <v>5954</v>
      </c>
      <c r="F3231" s="3">
        <v>42492</v>
      </c>
      <c r="G3231" s="2" t="str">
        <f>"9781607324713"</f>
        <v>9781607324713</v>
      </c>
      <c r="H3231" s="2" t="s">
        <v>14</v>
      </c>
      <c r="I3231" s="4">
        <v>43415.616666666669</v>
      </c>
      <c r="J3231" s="2" t="s">
        <v>7461</v>
      </c>
    </row>
    <row r="3232" spans="1:10" ht="135" x14ac:dyDescent="0.25">
      <c r="A3232" s="2" t="s">
        <v>962</v>
      </c>
      <c r="D3232" s="2" t="s">
        <v>961</v>
      </c>
      <c r="E3232" s="2" t="s">
        <v>730</v>
      </c>
      <c r="F3232" s="3">
        <v>43636</v>
      </c>
      <c r="G3232" s="2" t="str">
        <f>"9780281079216"</f>
        <v>9780281079216</v>
      </c>
      <c r="H3232" s="2" t="s">
        <v>14</v>
      </c>
      <c r="I3232" s="4">
        <v>43972.027083333334</v>
      </c>
      <c r="J3232" s="2" t="s">
        <v>963</v>
      </c>
    </row>
    <row r="3233" spans="1:10" ht="135" x14ac:dyDescent="0.25">
      <c r="A3233" s="2" t="s">
        <v>962</v>
      </c>
      <c r="B3233" s="2">
        <v>200.93700000000001</v>
      </c>
      <c r="C3233" s="2" t="s">
        <v>5470</v>
      </c>
      <c r="D3233" s="2" t="s">
        <v>5468</v>
      </c>
      <c r="E3233" s="2" t="s">
        <v>5469</v>
      </c>
      <c r="F3233" s="3">
        <v>42917</v>
      </c>
      <c r="G3233" s="2" t="str">
        <f>"9781937040802"</f>
        <v>9781937040802</v>
      </c>
      <c r="H3233" s="2" t="s">
        <v>14</v>
      </c>
      <c r="I3233" s="4">
        <v>43595.759722222225</v>
      </c>
      <c r="J3233" s="2" t="s">
        <v>5471</v>
      </c>
    </row>
    <row r="3234" spans="1:10" ht="210" x14ac:dyDescent="0.25">
      <c r="A3234" s="2" t="s">
        <v>962</v>
      </c>
      <c r="B3234" s="2">
        <v>299.78451999999999</v>
      </c>
      <c r="C3234" s="2" t="s">
        <v>7138</v>
      </c>
      <c r="D3234" s="2" t="s">
        <v>7137</v>
      </c>
      <c r="E3234" s="2" t="s">
        <v>65</v>
      </c>
      <c r="F3234" s="3">
        <v>43405</v>
      </c>
      <c r="G3234" s="2" t="str">
        <f>"9780806162171"</f>
        <v>9780806162171</v>
      </c>
      <c r="H3234" s="2" t="s">
        <v>14</v>
      </c>
      <c r="I3234" s="4">
        <v>43440.629166666666</v>
      </c>
      <c r="J3234" s="2" t="s">
        <v>7139</v>
      </c>
    </row>
    <row r="3235" spans="1:10" ht="135" x14ac:dyDescent="0.25">
      <c r="A3235" s="2" t="s">
        <v>962</v>
      </c>
      <c r="B3235" s="2">
        <v>951.00882969999998</v>
      </c>
      <c r="C3235" s="2" t="s">
        <v>2148</v>
      </c>
      <c r="D3235" s="2" t="s">
        <v>2147</v>
      </c>
      <c r="E3235" s="2" t="s">
        <v>521</v>
      </c>
      <c r="F3235" s="3">
        <v>42658</v>
      </c>
      <c r="G3235" s="2" t="str">
        <f>"9789461662019"</f>
        <v>9789461662019</v>
      </c>
      <c r="H3235" s="2" t="s">
        <v>14</v>
      </c>
      <c r="I3235" s="4">
        <v>43910.138888888891</v>
      </c>
      <c r="J3235" s="2" t="s">
        <v>2149</v>
      </c>
    </row>
    <row r="3236" spans="1:10" ht="135" x14ac:dyDescent="0.25">
      <c r="A3236" s="2" t="s">
        <v>962</v>
      </c>
      <c r="B3236" s="2">
        <v>294.34350954122999</v>
      </c>
      <c r="C3236" s="2" t="s">
        <v>7398</v>
      </c>
      <c r="D3236" s="2" t="s">
        <v>7397</v>
      </c>
      <c r="E3236" s="2" t="s">
        <v>856</v>
      </c>
      <c r="F3236" s="3">
        <v>43060</v>
      </c>
      <c r="G3236" s="2" t="str">
        <f>"9780295742380"</f>
        <v>9780295742380</v>
      </c>
      <c r="H3236" s="2" t="s">
        <v>14</v>
      </c>
      <c r="I3236" s="4">
        <v>43419.484027777777</v>
      </c>
      <c r="J3236" s="2" t="s">
        <v>7399</v>
      </c>
    </row>
    <row r="3237" spans="1:10" ht="135" x14ac:dyDescent="0.25">
      <c r="A3237" s="2" t="s">
        <v>10696</v>
      </c>
      <c r="B3237" s="2">
        <v>299.56112999999999</v>
      </c>
      <c r="C3237" s="2" t="s">
        <v>10697</v>
      </c>
      <c r="D3237" s="2" t="s">
        <v>10695</v>
      </c>
      <c r="E3237" s="2" t="s">
        <v>97</v>
      </c>
      <c r="F3237" s="3">
        <v>41891</v>
      </c>
      <c r="G3237" s="2" t="str">
        <f>"9780231538121"</f>
        <v>9780231538121</v>
      </c>
      <c r="H3237" s="2" t="s">
        <v>14</v>
      </c>
      <c r="I3237" s="4">
        <v>43042.468055555553</v>
      </c>
      <c r="J3237" s="2" t="s">
        <v>10698</v>
      </c>
    </row>
    <row r="3238" spans="1:10" ht="135" x14ac:dyDescent="0.25">
      <c r="A3238" s="2" t="s">
        <v>3753</v>
      </c>
      <c r="B3238" s="2">
        <v>262.89999999999998</v>
      </c>
      <c r="C3238" s="2" t="s">
        <v>3754</v>
      </c>
      <c r="D3238" s="2" t="s">
        <v>3752</v>
      </c>
      <c r="E3238" s="2" t="s">
        <v>11</v>
      </c>
      <c r="F3238" s="3">
        <v>43635</v>
      </c>
      <c r="G3238" s="2" t="str">
        <f>"9780813232225"</f>
        <v>9780813232225</v>
      </c>
      <c r="H3238" s="2" t="s">
        <v>14</v>
      </c>
      <c r="I3238" s="4">
        <v>43757.84375</v>
      </c>
      <c r="J3238" s="2" t="s">
        <v>3755</v>
      </c>
    </row>
    <row r="3239" spans="1:10" ht="135" x14ac:dyDescent="0.25">
      <c r="A3239" s="2" t="s">
        <v>818</v>
      </c>
      <c r="B3239" s="2" t="s">
        <v>1107</v>
      </c>
      <c r="C3239" s="2" t="s">
        <v>1108</v>
      </c>
      <c r="D3239" s="2" t="s">
        <v>1106</v>
      </c>
      <c r="E3239" s="2" t="s">
        <v>216</v>
      </c>
      <c r="F3239" s="3">
        <v>42036</v>
      </c>
      <c r="G3239" s="2" t="str">
        <f>"9781438454573"</f>
        <v>9781438454573</v>
      </c>
      <c r="H3239" s="2" t="s">
        <v>14</v>
      </c>
      <c r="I3239" s="4">
        <v>43963.112500000003</v>
      </c>
      <c r="J3239" s="2" t="s">
        <v>1109</v>
      </c>
    </row>
    <row r="3240" spans="1:10" ht="195" x14ac:dyDescent="0.25">
      <c r="A3240" s="2" t="s">
        <v>818</v>
      </c>
      <c r="B3240" s="2">
        <v>172</v>
      </c>
      <c r="C3240" s="2" t="s">
        <v>12871</v>
      </c>
      <c r="D3240" s="2" t="s">
        <v>12870</v>
      </c>
      <c r="E3240" s="2" t="s">
        <v>1869</v>
      </c>
      <c r="F3240" s="3">
        <v>41501</v>
      </c>
      <c r="G3240" s="2" t="str">
        <f>"9781442223073"</f>
        <v>9781442223073</v>
      </c>
      <c r="H3240" s="2" t="s">
        <v>14</v>
      </c>
      <c r="I3240" s="4">
        <v>42765.004861111112</v>
      </c>
      <c r="J3240" s="2" t="s">
        <v>12872</v>
      </c>
    </row>
    <row r="3241" spans="1:10" ht="135" x14ac:dyDescent="0.25">
      <c r="A3241" s="2" t="s">
        <v>818</v>
      </c>
      <c r="B3241" s="2" t="s">
        <v>3920</v>
      </c>
      <c r="C3241" s="2" t="s">
        <v>3921</v>
      </c>
      <c r="D3241" s="2" t="s">
        <v>3919</v>
      </c>
      <c r="E3241" s="2" t="s">
        <v>216</v>
      </c>
      <c r="F3241" s="3">
        <v>43678</v>
      </c>
      <c r="G3241" s="2" t="str">
        <f>"9781438475509"</f>
        <v>9781438475509</v>
      </c>
      <c r="H3241" s="2" t="s">
        <v>14</v>
      </c>
      <c r="I3241" s="4">
        <v>43737.945833333331</v>
      </c>
      <c r="J3241" s="2" t="s">
        <v>3922</v>
      </c>
    </row>
    <row r="3242" spans="1:10" ht="135" x14ac:dyDescent="0.25">
      <c r="A3242" s="2" t="s">
        <v>818</v>
      </c>
      <c r="B3242" s="2" t="s">
        <v>2315</v>
      </c>
      <c r="C3242" s="2" t="s">
        <v>2316</v>
      </c>
      <c r="D3242" s="2" t="s">
        <v>2314</v>
      </c>
      <c r="E3242" s="2" t="s">
        <v>216</v>
      </c>
      <c r="F3242" s="3">
        <v>43405</v>
      </c>
      <c r="G3242" s="2" t="str">
        <f>"9781438471945"</f>
        <v>9781438471945</v>
      </c>
      <c r="H3242" s="2" t="s">
        <v>14</v>
      </c>
      <c r="I3242" s="4">
        <v>43893.606249999997</v>
      </c>
      <c r="J3242" s="2" t="s">
        <v>2317</v>
      </c>
    </row>
    <row r="3243" spans="1:10" ht="135" x14ac:dyDescent="0.25">
      <c r="A3243" s="2" t="s">
        <v>818</v>
      </c>
      <c r="B3243" s="2">
        <v>296.382092</v>
      </c>
      <c r="C3243" s="2" t="s">
        <v>6549</v>
      </c>
      <c r="D3243" s="2" t="s">
        <v>6548</v>
      </c>
      <c r="E3243" s="2" t="s">
        <v>69</v>
      </c>
      <c r="F3243" s="3">
        <v>43147</v>
      </c>
      <c r="G3243" s="2" t="str">
        <f>"9780253035370"</f>
        <v>9780253035370</v>
      </c>
      <c r="H3243" s="2" t="s">
        <v>14</v>
      </c>
      <c r="I3243" s="4">
        <v>43507.958333333336</v>
      </c>
      <c r="J3243" s="2" t="s">
        <v>6550</v>
      </c>
    </row>
    <row r="3244" spans="1:10" ht="135" x14ac:dyDescent="0.25">
      <c r="A3244" s="2" t="s">
        <v>818</v>
      </c>
      <c r="B3244" s="2" t="s">
        <v>11253</v>
      </c>
      <c r="C3244" s="2" t="s">
        <v>11640</v>
      </c>
      <c r="D3244" s="2" t="s">
        <v>11639</v>
      </c>
      <c r="E3244" s="2" t="s">
        <v>11</v>
      </c>
      <c r="F3244" s="3">
        <v>42167</v>
      </c>
      <c r="G3244" s="2" t="str">
        <f>"9780813227528"</f>
        <v>9780813227528</v>
      </c>
      <c r="H3244" s="2" t="s">
        <v>14</v>
      </c>
      <c r="I3244" s="4">
        <v>42916.691666666666</v>
      </c>
      <c r="J3244" s="2" t="s">
        <v>11641</v>
      </c>
    </row>
    <row r="3245" spans="1:10" ht="135" x14ac:dyDescent="0.25">
      <c r="A3245" s="2" t="s">
        <v>818</v>
      </c>
      <c r="B3245" s="2">
        <v>126</v>
      </c>
      <c r="C3245" s="2" t="s">
        <v>3343</v>
      </c>
      <c r="D3245" s="2" t="s">
        <v>3342</v>
      </c>
      <c r="E3245" s="2" t="s">
        <v>11</v>
      </c>
      <c r="F3245" s="3">
        <v>37965</v>
      </c>
      <c r="G3245" s="2" t="str">
        <f>"9780813220390"</f>
        <v>9780813220390</v>
      </c>
      <c r="H3245" s="2" t="s">
        <v>14</v>
      </c>
      <c r="I3245" s="4">
        <v>43788.848611111112</v>
      </c>
      <c r="J3245" s="2" t="s">
        <v>3344</v>
      </c>
    </row>
    <row r="3246" spans="1:10" ht="135" x14ac:dyDescent="0.25">
      <c r="A3246" s="2" t="s">
        <v>818</v>
      </c>
      <c r="B3246" s="2" t="s">
        <v>7926</v>
      </c>
      <c r="C3246" s="2" t="s">
        <v>7927</v>
      </c>
      <c r="D3246" s="2" t="s">
        <v>7925</v>
      </c>
      <c r="E3246" s="2" t="s">
        <v>216</v>
      </c>
      <c r="F3246" s="3">
        <v>42491</v>
      </c>
      <c r="G3246" s="2" t="str">
        <f>"9781438461205"</f>
        <v>9781438461205</v>
      </c>
      <c r="H3246" s="2" t="s">
        <v>14</v>
      </c>
      <c r="I3246" s="4">
        <v>43376.318749999999</v>
      </c>
      <c r="J3246" s="2" t="s">
        <v>7928</v>
      </c>
    </row>
    <row r="3247" spans="1:10" ht="135" x14ac:dyDescent="0.25">
      <c r="A3247" s="2" t="s">
        <v>818</v>
      </c>
      <c r="B3247" s="2" t="s">
        <v>11671</v>
      </c>
      <c r="C3247" s="2" t="s">
        <v>11672</v>
      </c>
      <c r="D3247" s="2" t="s">
        <v>11670</v>
      </c>
      <c r="E3247" s="2" t="s">
        <v>674</v>
      </c>
      <c r="F3247" s="3">
        <v>42705</v>
      </c>
      <c r="G3247" s="2" t="str">
        <f>""</f>
        <v/>
      </c>
      <c r="H3247" s="2" t="s">
        <v>14</v>
      </c>
      <c r="I3247" s="4">
        <v>42913.357638888891</v>
      </c>
      <c r="J3247" s="2" t="s">
        <v>11673</v>
      </c>
    </row>
    <row r="3248" spans="1:10" ht="135" x14ac:dyDescent="0.25">
      <c r="A3248" s="2" t="s">
        <v>818</v>
      </c>
      <c r="B3248" s="2">
        <v>230.09200000000001</v>
      </c>
      <c r="C3248" s="2" t="s">
        <v>11461</v>
      </c>
      <c r="D3248" s="2" t="s">
        <v>11460</v>
      </c>
      <c r="E3248" s="2" t="s">
        <v>557</v>
      </c>
      <c r="F3248" s="3">
        <v>42484</v>
      </c>
      <c r="G3248" s="2" t="str">
        <f>"9781467445276"</f>
        <v>9781467445276</v>
      </c>
      <c r="H3248" s="2" t="s">
        <v>14</v>
      </c>
      <c r="I3248" s="4">
        <v>42964.454861111109</v>
      </c>
      <c r="J3248" s="2" t="s">
        <v>11462</v>
      </c>
    </row>
    <row r="3249" spans="1:10" ht="135" x14ac:dyDescent="0.25">
      <c r="A3249" s="2" t="s">
        <v>818</v>
      </c>
      <c r="B3249" s="2" t="s">
        <v>12387</v>
      </c>
      <c r="C3249" s="2" t="s">
        <v>12388</v>
      </c>
      <c r="D3249" s="2" t="s">
        <v>12386</v>
      </c>
      <c r="E3249" s="2" t="s">
        <v>11</v>
      </c>
      <c r="F3249" s="3">
        <v>38534</v>
      </c>
      <c r="G3249" s="2" t="str">
        <f>"9780813216416"</f>
        <v>9780813216416</v>
      </c>
      <c r="H3249" s="2" t="s">
        <v>14</v>
      </c>
      <c r="I3249" s="4">
        <v>42811.952777777777</v>
      </c>
      <c r="J3249" s="2" t="s">
        <v>12389</v>
      </c>
    </row>
    <row r="3250" spans="1:10" ht="180" x14ac:dyDescent="0.25">
      <c r="A3250" s="2" t="s">
        <v>818</v>
      </c>
      <c r="B3250" s="2">
        <v>294.38499999999999</v>
      </c>
      <c r="C3250" s="2" t="s">
        <v>2441</v>
      </c>
      <c r="D3250" s="2" t="s">
        <v>2440</v>
      </c>
      <c r="E3250" s="2" t="s">
        <v>216</v>
      </c>
      <c r="F3250" s="3">
        <v>42795</v>
      </c>
      <c r="G3250" s="2" t="str">
        <f>"9781438464671"</f>
        <v>9781438464671</v>
      </c>
      <c r="H3250" s="2" t="s">
        <v>14</v>
      </c>
      <c r="I3250" s="4">
        <v>43885.48333333333</v>
      </c>
      <c r="J3250" s="2" t="s">
        <v>2442</v>
      </c>
    </row>
    <row r="3251" spans="1:10" ht="135" x14ac:dyDescent="0.25">
      <c r="A3251" s="2" t="s">
        <v>818</v>
      </c>
      <c r="D3251" s="2" t="s">
        <v>2131</v>
      </c>
      <c r="E3251" s="2" t="s">
        <v>54</v>
      </c>
      <c r="F3251" s="3">
        <v>43907</v>
      </c>
      <c r="G3251" s="2" t="str">
        <f>"9781503611689"</f>
        <v>9781503611689</v>
      </c>
      <c r="H3251" s="2" t="s">
        <v>14</v>
      </c>
      <c r="I3251" s="4">
        <v>43911.62777777778</v>
      </c>
      <c r="J3251" s="2" t="s">
        <v>2132</v>
      </c>
    </row>
    <row r="3252" spans="1:10" ht="135" x14ac:dyDescent="0.25">
      <c r="A3252" s="2" t="s">
        <v>818</v>
      </c>
      <c r="B3252" s="2">
        <v>179.7</v>
      </c>
      <c r="C3252" s="2" t="s">
        <v>4335</v>
      </c>
      <c r="D3252" s="2" t="s">
        <v>4334</v>
      </c>
      <c r="E3252" s="2" t="s">
        <v>674</v>
      </c>
      <c r="F3252" s="3">
        <v>42248</v>
      </c>
      <c r="G3252" s="2" t="str">
        <f>"9780823267385"</f>
        <v>9780823267385</v>
      </c>
      <c r="H3252" s="2" t="s">
        <v>14</v>
      </c>
      <c r="I3252" s="4">
        <v>43681.701388888891</v>
      </c>
      <c r="J3252" s="2" t="s">
        <v>4336</v>
      </c>
    </row>
    <row r="3253" spans="1:10" ht="135" x14ac:dyDescent="0.25">
      <c r="A3253" s="2" t="s">
        <v>818</v>
      </c>
      <c r="B3253" s="2">
        <v>181.114</v>
      </c>
      <c r="C3253" s="2" t="s">
        <v>6022</v>
      </c>
      <c r="D3253" s="2" t="s">
        <v>6021</v>
      </c>
      <c r="E3253" s="2" t="s">
        <v>284</v>
      </c>
      <c r="F3253" s="3">
        <v>42490</v>
      </c>
      <c r="G3253" s="2" t="str">
        <f>"9780824857660"</f>
        <v>9780824857660</v>
      </c>
      <c r="H3253" s="2" t="s">
        <v>14</v>
      </c>
      <c r="I3253" s="4">
        <v>43549.622916666667</v>
      </c>
      <c r="J3253" s="2" t="s">
        <v>6023</v>
      </c>
    </row>
    <row r="3254" spans="1:10" ht="135" x14ac:dyDescent="0.25">
      <c r="A3254" s="2" t="s">
        <v>818</v>
      </c>
      <c r="B3254" s="2">
        <v>230.20920000000001</v>
      </c>
      <c r="C3254" s="2" t="s">
        <v>4044</v>
      </c>
      <c r="D3254" s="2" t="s">
        <v>4043</v>
      </c>
      <c r="E3254" s="2" t="s">
        <v>11</v>
      </c>
      <c r="F3254" s="3">
        <v>43698</v>
      </c>
      <c r="G3254" s="2" t="str">
        <f>"9780813231846"</f>
        <v>9780813231846</v>
      </c>
      <c r="H3254" s="2" t="s">
        <v>14</v>
      </c>
      <c r="I3254" s="4">
        <v>43721.564583333333</v>
      </c>
      <c r="J3254" s="2" t="s">
        <v>4045</v>
      </c>
    </row>
    <row r="3255" spans="1:10" ht="135" x14ac:dyDescent="0.25">
      <c r="A3255" s="2" t="s">
        <v>818</v>
      </c>
      <c r="D3255" s="2" t="s">
        <v>816</v>
      </c>
      <c r="E3255" s="2" t="s">
        <v>817</v>
      </c>
      <c r="F3255" s="3">
        <v>43809</v>
      </c>
      <c r="G3255" s="2" t="str">
        <f>"9783161571718"</f>
        <v>9783161571718</v>
      </c>
      <c r="H3255" s="2" t="s">
        <v>14</v>
      </c>
      <c r="I3255" s="4">
        <v>43984.586111111108</v>
      </c>
      <c r="J3255" s="2" t="s">
        <v>819</v>
      </c>
    </row>
    <row r="3256" spans="1:10" ht="135" x14ac:dyDescent="0.25">
      <c r="A3256" s="2" t="s">
        <v>818</v>
      </c>
      <c r="B3256" s="2" t="s">
        <v>7875</v>
      </c>
      <c r="C3256" s="2" t="s">
        <v>4589</v>
      </c>
      <c r="D3256" s="2" t="s">
        <v>7874</v>
      </c>
      <c r="E3256" s="2" t="s">
        <v>11</v>
      </c>
      <c r="F3256" s="3">
        <v>38398</v>
      </c>
      <c r="G3256" s="2" t="str">
        <f>"9780813216669"</f>
        <v>9780813216669</v>
      </c>
      <c r="H3256" s="2" t="s">
        <v>14</v>
      </c>
      <c r="I3256" s="4">
        <v>43382.484027777777</v>
      </c>
      <c r="J3256" s="2" t="s">
        <v>7876</v>
      </c>
    </row>
    <row r="3257" spans="1:10" ht="135" x14ac:dyDescent="0.25">
      <c r="A3257" s="2" t="s">
        <v>1631</v>
      </c>
      <c r="B3257" s="2">
        <v>320.01</v>
      </c>
      <c r="C3257" s="2" t="s">
        <v>8795</v>
      </c>
      <c r="D3257" s="2" t="s">
        <v>8794</v>
      </c>
      <c r="E3257" s="2" t="s">
        <v>328</v>
      </c>
      <c r="F3257" s="3">
        <v>40441</v>
      </c>
      <c r="G3257" s="2" t="str">
        <f>"9780739147245"</f>
        <v>9780739147245</v>
      </c>
      <c r="H3257" s="2" t="s">
        <v>14</v>
      </c>
      <c r="I3257" s="4">
        <v>43251.92291666667</v>
      </c>
      <c r="J3257" s="2" t="s">
        <v>8796</v>
      </c>
    </row>
    <row r="3258" spans="1:10" ht="135" x14ac:dyDescent="0.25">
      <c r="A3258" s="2" t="s">
        <v>1631</v>
      </c>
      <c r="B3258" s="2">
        <v>322.10959800000001</v>
      </c>
      <c r="C3258" s="2" t="s">
        <v>1632</v>
      </c>
      <c r="D3258" s="2" t="s">
        <v>1630</v>
      </c>
      <c r="E3258" s="2" t="s">
        <v>152</v>
      </c>
      <c r="F3258" s="3">
        <v>42748</v>
      </c>
      <c r="G3258" s="2" t="str">
        <f>"9789811028274"</f>
        <v>9789811028274</v>
      </c>
      <c r="H3258" s="2" t="s">
        <v>14</v>
      </c>
      <c r="I3258" s="4">
        <v>43934.777083333334</v>
      </c>
      <c r="J3258" s="2" t="s">
        <v>1633</v>
      </c>
    </row>
    <row r="3259" spans="1:10" ht="180" x14ac:dyDescent="0.25">
      <c r="A3259" s="2" t="s">
        <v>1631</v>
      </c>
      <c r="B3259" s="2" t="s">
        <v>7286</v>
      </c>
      <c r="C3259" s="2" t="s">
        <v>7287</v>
      </c>
      <c r="D3259" s="2" t="s">
        <v>7285</v>
      </c>
      <c r="E3259" s="2" t="s">
        <v>11</v>
      </c>
      <c r="F3259" s="3">
        <v>42475</v>
      </c>
      <c r="G3259" s="2" t="str">
        <f>"9780813228501"</f>
        <v>9780813228501</v>
      </c>
      <c r="H3259" s="2" t="s">
        <v>14</v>
      </c>
      <c r="I3259" s="4">
        <v>43427.734722222223</v>
      </c>
      <c r="J3259" s="2" t="s">
        <v>7288</v>
      </c>
    </row>
    <row r="3260" spans="1:10" ht="135" x14ac:dyDescent="0.25">
      <c r="A3260" s="2" t="s">
        <v>1623</v>
      </c>
      <c r="B3260" s="2">
        <v>306.48099999999999</v>
      </c>
      <c r="C3260" s="2" t="s">
        <v>5333</v>
      </c>
      <c r="D3260" s="2" t="s">
        <v>5332</v>
      </c>
      <c r="E3260" s="2" t="s">
        <v>54</v>
      </c>
      <c r="F3260" s="3">
        <v>43571</v>
      </c>
      <c r="G3260" s="2" t="str">
        <f>"9781503608740"</f>
        <v>9781503608740</v>
      </c>
      <c r="H3260" s="2" t="s">
        <v>14</v>
      </c>
      <c r="I3260" s="4">
        <v>43604.822222222225</v>
      </c>
      <c r="J3260" s="2" t="s">
        <v>5334</v>
      </c>
    </row>
    <row r="3261" spans="1:10" ht="135" x14ac:dyDescent="0.25">
      <c r="A3261" s="2" t="s">
        <v>1623</v>
      </c>
      <c r="B3261" s="2">
        <v>201.5</v>
      </c>
      <c r="C3261" s="2" t="s">
        <v>153</v>
      </c>
      <c r="D3261" s="2" t="s">
        <v>8219</v>
      </c>
      <c r="E3261" s="2" t="s">
        <v>37</v>
      </c>
      <c r="F3261" s="3">
        <v>42810</v>
      </c>
      <c r="G3261" s="2" t="str">
        <f>"9783319434063"</f>
        <v>9783319434063</v>
      </c>
      <c r="H3261" s="2" t="s">
        <v>14</v>
      </c>
      <c r="I3261" s="4">
        <v>43335.484027777777</v>
      </c>
      <c r="J3261" s="2" t="s">
        <v>8220</v>
      </c>
    </row>
    <row r="3262" spans="1:10" ht="135" x14ac:dyDescent="0.25">
      <c r="A3262" s="2" t="s">
        <v>1623</v>
      </c>
      <c r="B3262" s="2" t="s">
        <v>6890</v>
      </c>
      <c r="C3262" s="2" t="s">
        <v>6891</v>
      </c>
      <c r="D3262" s="2" t="s">
        <v>6889</v>
      </c>
      <c r="E3262" s="2" t="s">
        <v>578</v>
      </c>
      <c r="F3262" s="3">
        <v>42824</v>
      </c>
      <c r="G3262" s="2" t="str">
        <f>"9780252099250"</f>
        <v>9780252099250</v>
      </c>
      <c r="H3262" s="2" t="s">
        <v>14</v>
      </c>
      <c r="I3262" s="4">
        <v>43477.899305555555</v>
      </c>
      <c r="J3262" s="2" t="s">
        <v>6892</v>
      </c>
    </row>
    <row r="3263" spans="1:10" ht="135" x14ac:dyDescent="0.25">
      <c r="A3263" s="2" t="s">
        <v>1623</v>
      </c>
      <c r="D3263" s="2" t="s">
        <v>1622</v>
      </c>
      <c r="E3263" s="2" t="s">
        <v>892</v>
      </c>
      <c r="F3263" s="3">
        <v>43678</v>
      </c>
      <c r="G3263" s="2" t="str">
        <f>"9781481310628"</f>
        <v>9781481310628</v>
      </c>
      <c r="H3263" s="2" t="s">
        <v>14</v>
      </c>
      <c r="I3263" s="4">
        <v>43935.369444444441</v>
      </c>
      <c r="J3263" s="2" t="s">
        <v>1624</v>
      </c>
    </row>
    <row r="3264" spans="1:10" ht="135" x14ac:dyDescent="0.25">
      <c r="A3264" s="2" t="s">
        <v>1226</v>
      </c>
      <c r="B3264" s="2" t="s">
        <v>7975</v>
      </c>
      <c r="C3264" s="2" t="s">
        <v>7976</v>
      </c>
      <c r="D3264" s="2" t="s">
        <v>7974</v>
      </c>
      <c r="E3264" s="2" t="s">
        <v>397</v>
      </c>
      <c r="F3264" s="3">
        <v>43238</v>
      </c>
      <c r="G3264" s="2" t="str">
        <f>"9780822983491"</f>
        <v>9780822983491</v>
      </c>
      <c r="H3264" s="2" t="s">
        <v>14</v>
      </c>
      <c r="I3264" s="4">
        <v>43369.606944444444</v>
      </c>
      <c r="J3264" s="2" t="s">
        <v>7977</v>
      </c>
    </row>
    <row r="3265" spans="1:10" ht="135" x14ac:dyDescent="0.25">
      <c r="A3265" s="2" t="s">
        <v>1226</v>
      </c>
      <c r="B3265" s="2">
        <v>523.42999999999995</v>
      </c>
      <c r="C3265" s="2" t="s">
        <v>4059</v>
      </c>
      <c r="D3265" s="2" t="s">
        <v>4058</v>
      </c>
      <c r="E3265" s="2" t="s">
        <v>397</v>
      </c>
      <c r="F3265" s="3">
        <v>43725</v>
      </c>
      <c r="G3265" s="2" t="str">
        <f>"9780822986614"</f>
        <v>9780822986614</v>
      </c>
      <c r="H3265" s="2" t="s">
        <v>14</v>
      </c>
      <c r="I3265" s="4">
        <v>43719.647916666669</v>
      </c>
      <c r="J3265" s="2" t="s">
        <v>4060</v>
      </c>
    </row>
    <row r="3266" spans="1:10" ht="135" x14ac:dyDescent="0.25">
      <c r="A3266" s="2" t="s">
        <v>1226</v>
      </c>
      <c r="B3266" s="2">
        <v>523.17999999999995</v>
      </c>
      <c r="C3266" s="2" t="s">
        <v>1227</v>
      </c>
      <c r="D3266" s="2" t="s">
        <v>1224</v>
      </c>
      <c r="E3266" s="2" t="s">
        <v>1225</v>
      </c>
      <c r="F3266" s="3">
        <v>42143</v>
      </c>
      <c r="G3266" s="2" t="str">
        <f>"9788378860501"</f>
        <v>9788378860501</v>
      </c>
      <c r="H3266" s="2" t="s">
        <v>14</v>
      </c>
      <c r="I3266" s="4">
        <v>43954.792361111111</v>
      </c>
      <c r="J3266" s="2" t="s">
        <v>1228</v>
      </c>
    </row>
    <row r="3267" spans="1:10" ht="165" x14ac:dyDescent="0.25">
      <c r="A3267" s="2" t="s">
        <v>5831</v>
      </c>
      <c r="B3267" s="2">
        <v>526.09861000000001</v>
      </c>
      <c r="C3267" s="2" t="s">
        <v>5832</v>
      </c>
      <c r="D3267" s="2" t="s">
        <v>5830</v>
      </c>
      <c r="E3267" s="2" t="s">
        <v>156</v>
      </c>
      <c r="F3267" s="3">
        <v>42513</v>
      </c>
      <c r="G3267" s="2" t="str">
        <f>"9781469627465"</f>
        <v>9781469627465</v>
      </c>
      <c r="H3267" s="2" t="s">
        <v>14</v>
      </c>
      <c r="I3267" s="4">
        <v>43566.684027777781</v>
      </c>
      <c r="J3267" s="2" t="s">
        <v>5833</v>
      </c>
    </row>
    <row r="3268" spans="1:10" ht="135" x14ac:dyDescent="0.25">
      <c r="A3268" s="2" t="s">
        <v>8023</v>
      </c>
      <c r="B3268" s="2" t="s">
        <v>8024</v>
      </c>
      <c r="C3268" s="2" t="s">
        <v>8025</v>
      </c>
      <c r="D3268" s="2" t="s">
        <v>8022</v>
      </c>
      <c r="E3268" s="2" t="s">
        <v>130</v>
      </c>
      <c r="F3268" s="3">
        <v>42570</v>
      </c>
      <c r="G3268" s="2" t="str">
        <f>"9780813055800"</f>
        <v>9780813055800</v>
      </c>
      <c r="H3268" s="2" t="s">
        <v>14</v>
      </c>
      <c r="I3268" s="4">
        <v>43363.48333333333</v>
      </c>
      <c r="J3268" s="2" t="s">
        <v>8026</v>
      </c>
    </row>
    <row r="3269" spans="1:10" ht="135" x14ac:dyDescent="0.25">
      <c r="A3269" s="2" t="s">
        <v>9603</v>
      </c>
      <c r="B3269" s="2">
        <v>576.79999999999995</v>
      </c>
      <c r="C3269" s="2" t="s">
        <v>9604</v>
      </c>
      <c r="D3269" s="2" t="s">
        <v>9602</v>
      </c>
      <c r="E3269" s="2" t="s">
        <v>578</v>
      </c>
      <c r="F3269" s="3">
        <v>42685</v>
      </c>
      <c r="G3269" s="2" t="str">
        <f>"9780252099021"</f>
        <v>9780252099021</v>
      </c>
      <c r="H3269" s="2" t="s">
        <v>14</v>
      </c>
      <c r="I3269" s="4">
        <v>43147.694444444445</v>
      </c>
      <c r="J3269" s="2" t="s">
        <v>9605</v>
      </c>
    </row>
    <row r="3270" spans="1:10" ht="165" x14ac:dyDescent="0.25">
      <c r="A3270" s="2" t="s">
        <v>4168</v>
      </c>
      <c r="B3270" s="2">
        <v>599.9</v>
      </c>
      <c r="C3270" s="2" t="s">
        <v>4169</v>
      </c>
      <c r="D3270" s="2" t="s">
        <v>4167</v>
      </c>
      <c r="E3270" s="2" t="s">
        <v>46</v>
      </c>
      <c r="F3270" s="3">
        <v>43678</v>
      </c>
      <c r="G3270" s="2" t="str">
        <f>"9781496215840"</f>
        <v>9781496215840</v>
      </c>
      <c r="H3270" s="2" t="s">
        <v>14</v>
      </c>
      <c r="I3270" s="4">
        <v>43702.992361111108</v>
      </c>
      <c r="J3270" s="2" t="s">
        <v>4170</v>
      </c>
    </row>
    <row r="3271" spans="1:10" ht="135" x14ac:dyDescent="0.25">
      <c r="A3271" s="2" t="s">
        <v>217</v>
      </c>
      <c r="B3271" s="2">
        <v>582.1</v>
      </c>
      <c r="C3271" s="2" t="s">
        <v>218</v>
      </c>
      <c r="D3271" s="2" t="s">
        <v>215</v>
      </c>
      <c r="E3271" s="2" t="s">
        <v>216</v>
      </c>
      <c r="F3271" s="3">
        <v>43617</v>
      </c>
      <c r="G3271" s="2" t="str">
        <f>"9781438474571"</f>
        <v>9781438474571</v>
      </c>
      <c r="H3271" s="2" t="s">
        <v>14</v>
      </c>
      <c r="I3271" s="4">
        <v>44055.893750000003</v>
      </c>
      <c r="J3271" s="2" t="s">
        <v>219</v>
      </c>
    </row>
    <row r="3272" spans="1:10" ht="135" x14ac:dyDescent="0.25">
      <c r="A3272" s="2" t="s">
        <v>10582</v>
      </c>
      <c r="B3272" s="2" t="s">
        <v>10583</v>
      </c>
      <c r="C3272" s="2" t="s">
        <v>10584</v>
      </c>
      <c r="D3272" s="2" t="s">
        <v>10580</v>
      </c>
      <c r="E3272" s="2" t="s">
        <v>10581</v>
      </c>
      <c r="F3272" s="3">
        <v>42200</v>
      </c>
      <c r="G3272" s="2" t="str">
        <f>"9781612481357"</f>
        <v>9781612481357</v>
      </c>
      <c r="H3272" s="2" t="s">
        <v>14</v>
      </c>
      <c r="I3272" s="4">
        <v>43048.684027777781</v>
      </c>
      <c r="J3272" s="2" t="s">
        <v>10585</v>
      </c>
    </row>
    <row r="3273" spans="1:10" ht="150" x14ac:dyDescent="0.25">
      <c r="A3273" s="2" t="s">
        <v>1724</v>
      </c>
      <c r="B3273" s="2">
        <v>530.79999999999995</v>
      </c>
      <c r="C3273" s="2" t="s">
        <v>1725</v>
      </c>
      <c r="D3273" s="2" t="s">
        <v>1723</v>
      </c>
      <c r="E3273" s="2" t="s">
        <v>37</v>
      </c>
      <c r="F3273" s="3">
        <v>42331</v>
      </c>
      <c r="G3273" s="2" t="str">
        <f>"9783319212517"</f>
        <v>9783319212517</v>
      </c>
      <c r="H3273" s="2" t="s">
        <v>14</v>
      </c>
      <c r="I3273" s="4">
        <v>43930.488888888889</v>
      </c>
      <c r="J3273" s="2" t="s">
        <v>1726</v>
      </c>
    </row>
    <row r="3274" spans="1:10" ht="135" x14ac:dyDescent="0.25">
      <c r="A3274" s="2" t="s">
        <v>2671</v>
      </c>
      <c r="D3274" s="2" t="s">
        <v>2670</v>
      </c>
      <c r="E3274" s="2" t="s">
        <v>397</v>
      </c>
      <c r="F3274" s="3">
        <v>43830</v>
      </c>
      <c r="G3274" s="2" t="str">
        <f>"9780822987109"</f>
        <v>9780822987109</v>
      </c>
      <c r="H3274" s="2" t="s">
        <v>14</v>
      </c>
      <c r="I3274" s="4">
        <v>43866.681944444441</v>
      </c>
      <c r="J3274" s="2" t="s">
        <v>2672</v>
      </c>
    </row>
    <row r="3275" spans="1:10" ht="135" x14ac:dyDescent="0.25">
      <c r="A3275" s="2" t="s">
        <v>10321</v>
      </c>
      <c r="B3275" s="2" t="s">
        <v>10322</v>
      </c>
      <c r="C3275" s="2" t="s">
        <v>1878</v>
      </c>
      <c r="D3275" s="2" t="s">
        <v>10320</v>
      </c>
      <c r="E3275" s="2" t="s">
        <v>397</v>
      </c>
      <c r="F3275" s="3">
        <v>42699</v>
      </c>
      <c r="G3275" s="2" t="str">
        <f>"9780822981459"</f>
        <v>9780822981459</v>
      </c>
      <c r="H3275" s="2" t="s">
        <v>14</v>
      </c>
      <c r="I3275" s="4">
        <v>43069.37222222222</v>
      </c>
      <c r="J3275" s="2" t="s">
        <v>10323</v>
      </c>
    </row>
    <row r="3276" spans="1:10" ht="135" x14ac:dyDescent="0.25">
      <c r="A3276" s="2" t="s">
        <v>10962</v>
      </c>
      <c r="B3276" s="2">
        <v>508</v>
      </c>
      <c r="C3276" s="2" t="s">
        <v>10963</v>
      </c>
      <c r="D3276" s="2" t="s">
        <v>10961</v>
      </c>
      <c r="E3276" s="2" t="s">
        <v>585</v>
      </c>
      <c r="F3276" s="3">
        <v>42517</v>
      </c>
      <c r="G3276" s="2" t="str">
        <f>"9780226349879"</f>
        <v>9780226349879</v>
      </c>
      <c r="H3276" s="2" t="s">
        <v>14</v>
      </c>
      <c r="I3276" s="4">
        <v>43025.622916666667</v>
      </c>
      <c r="J3276" s="2" t="s">
        <v>10964</v>
      </c>
    </row>
    <row r="3277" spans="1:10" ht="135" x14ac:dyDescent="0.25">
      <c r="A3277" s="2" t="s">
        <v>821</v>
      </c>
      <c r="D3277" s="2" t="s">
        <v>820</v>
      </c>
      <c r="E3277" s="2" t="s">
        <v>130</v>
      </c>
      <c r="F3277" s="3">
        <v>43938</v>
      </c>
      <c r="G3277" s="2" t="str">
        <f>"9781683401766"</f>
        <v>9781683401766</v>
      </c>
      <c r="H3277" s="2" t="s">
        <v>14</v>
      </c>
      <c r="I3277" s="4">
        <v>43983.545138888891</v>
      </c>
      <c r="J3277" s="2" t="s">
        <v>822</v>
      </c>
    </row>
    <row r="3278" spans="1:10" ht="135" x14ac:dyDescent="0.25">
      <c r="A3278" s="2" t="s">
        <v>8960</v>
      </c>
      <c r="B3278" s="2">
        <v>554</v>
      </c>
      <c r="C3278" s="2" t="s">
        <v>1808</v>
      </c>
      <c r="D3278" s="2" t="s">
        <v>8959</v>
      </c>
      <c r="E3278" s="2" t="s">
        <v>37</v>
      </c>
      <c r="F3278" s="3">
        <v>42585</v>
      </c>
      <c r="G3278" s="2" t="str">
        <f>"9783319224886"</f>
        <v>9783319224886</v>
      </c>
      <c r="H3278" s="2" t="s">
        <v>14</v>
      </c>
      <c r="I3278" s="4">
        <v>43234.364583333336</v>
      </c>
      <c r="J3278" s="2" t="s">
        <v>8961</v>
      </c>
    </row>
    <row r="3279" spans="1:10" ht="135" x14ac:dyDescent="0.25">
      <c r="A3279" s="2" t="s">
        <v>8369</v>
      </c>
      <c r="B3279" s="2">
        <v>599.13800000000003</v>
      </c>
      <c r="C3279" s="2" t="s">
        <v>8370</v>
      </c>
      <c r="D3279" s="2" t="s">
        <v>8368</v>
      </c>
      <c r="E3279" s="2" t="s">
        <v>84</v>
      </c>
      <c r="F3279" s="3">
        <v>39974</v>
      </c>
      <c r="G3279" s="2" t="str">
        <f>"9781402069970"</f>
        <v>9781402069970</v>
      </c>
      <c r="H3279" s="2" t="s">
        <v>14</v>
      </c>
      <c r="I3279" s="4">
        <v>43315.557638888888</v>
      </c>
      <c r="J3279" s="2" t="s">
        <v>8371</v>
      </c>
    </row>
    <row r="3280" spans="1:10" ht="135" x14ac:dyDescent="0.25">
      <c r="A3280" s="2" t="s">
        <v>8453</v>
      </c>
      <c r="B3280" s="2">
        <v>363.73874000000001</v>
      </c>
      <c r="C3280" s="2" t="s">
        <v>8454</v>
      </c>
      <c r="D3280" s="2" t="s">
        <v>8451</v>
      </c>
      <c r="E3280" s="2" t="s">
        <v>8452</v>
      </c>
      <c r="F3280" s="3">
        <v>41088</v>
      </c>
      <c r="G3280" s="2" t="str">
        <f>"9781447142287"</f>
        <v>9781447142287</v>
      </c>
      <c r="H3280" s="2" t="s">
        <v>14</v>
      </c>
      <c r="I3280" s="4">
        <v>43304.726388888892</v>
      </c>
      <c r="J3280" s="2" t="s">
        <v>8455</v>
      </c>
    </row>
    <row r="3281" spans="1:10" ht="135" x14ac:dyDescent="0.25">
      <c r="A3281" s="2" t="s">
        <v>10272</v>
      </c>
      <c r="B3281" s="2">
        <v>597.92097639999997</v>
      </c>
      <c r="C3281" s="2" t="s">
        <v>10273</v>
      </c>
      <c r="D3281" s="2" t="s">
        <v>10271</v>
      </c>
      <c r="E3281" s="2" t="s">
        <v>526</v>
      </c>
      <c r="F3281" s="3">
        <v>24139</v>
      </c>
      <c r="G3281" s="2" t="str">
        <f>"9781477307328"</f>
        <v>9781477307328</v>
      </c>
      <c r="H3281" s="2" t="s">
        <v>14</v>
      </c>
      <c r="I3281" s="4">
        <v>43074.611111111109</v>
      </c>
      <c r="J3281" s="2" t="s">
        <v>10274</v>
      </c>
    </row>
    <row r="3282" spans="1:10" ht="135" x14ac:dyDescent="0.25">
      <c r="A3282" s="2" t="s">
        <v>10272</v>
      </c>
      <c r="B3282" s="2">
        <v>590.9</v>
      </c>
      <c r="C3282" s="2" t="s">
        <v>11304</v>
      </c>
      <c r="D3282" s="2" t="s">
        <v>11303</v>
      </c>
      <c r="E3282" s="2" t="s">
        <v>310</v>
      </c>
      <c r="F3282" s="3">
        <v>42269</v>
      </c>
      <c r="G3282" s="2" t="str">
        <f>"9780815653394"</f>
        <v>9780815653394</v>
      </c>
      <c r="H3282" s="2" t="s">
        <v>14</v>
      </c>
      <c r="I3282" s="4">
        <v>42992.381249999999</v>
      </c>
      <c r="J3282" s="2" t="s">
        <v>11305</v>
      </c>
    </row>
    <row r="3283" spans="1:10" ht="135" x14ac:dyDescent="0.25">
      <c r="A3283" s="2" t="s">
        <v>4695</v>
      </c>
      <c r="B3283" s="2" t="s">
        <v>4696</v>
      </c>
      <c r="C3283" s="2" t="s">
        <v>4697</v>
      </c>
      <c r="D3283" s="2" t="s">
        <v>4694</v>
      </c>
      <c r="E3283" s="2" t="s">
        <v>69</v>
      </c>
      <c r="F3283" s="3">
        <v>43110</v>
      </c>
      <c r="G3283" s="2" t="str">
        <f>"9780861969395"</f>
        <v>9780861969395</v>
      </c>
      <c r="H3283" s="2" t="s">
        <v>14</v>
      </c>
      <c r="I3283" s="4">
        <v>43636.972222222219</v>
      </c>
      <c r="J3283" s="2" t="s">
        <v>4698</v>
      </c>
    </row>
    <row r="3284" spans="1:10" ht="135" x14ac:dyDescent="0.25">
      <c r="A3284" s="2" t="s">
        <v>7505</v>
      </c>
      <c r="B3284" s="2" t="s">
        <v>7506</v>
      </c>
      <c r="C3284" s="2" t="s">
        <v>7507</v>
      </c>
      <c r="D3284" s="2" t="s">
        <v>7504</v>
      </c>
      <c r="E3284" s="2" t="s">
        <v>5954</v>
      </c>
      <c r="F3284" s="3">
        <v>42019</v>
      </c>
      <c r="G3284" s="2" t="str">
        <f>"9781607322863"</f>
        <v>9781607322863</v>
      </c>
      <c r="H3284" s="2" t="s">
        <v>14</v>
      </c>
      <c r="I3284" s="4">
        <v>43411.808333333334</v>
      </c>
      <c r="J3284" s="2" t="s">
        <v>7508</v>
      </c>
    </row>
    <row r="3285" spans="1:10" ht="135" x14ac:dyDescent="0.25">
      <c r="A3285" s="2" t="s">
        <v>6977</v>
      </c>
      <c r="B3285" s="2">
        <v>330</v>
      </c>
      <c r="C3285" s="2" t="s">
        <v>1808</v>
      </c>
      <c r="D3285" s="2" t="s">
        <v>6976</v>
      </c>
      <c r="E3285" s="2" t="s">
        <v>37</v>
      </c>
      <c r="F3285" s="3">
        <v>42811</v>
      </c>
      <c r="G3285" s="2" t="str">
        <f>"9783319474588"</f>
        <v>9783319474588</v>
      </c>
      <c r="H3285" s="2" t="s">
        <v>14</v>
      </c>
      <c r="I3285" s="4">
        <v>43470.395833333336</v>
      </c>
      <c r="J3285" s="2" t="s">
        <v>6978</v>
      </c>
    </row>
    <row r="3286" spans="1:10" ht="150" x14ac:dyDescent="0.25">
      <c r="A3286" s="2" t="s">
        <v>5012</v>
      </c>
      <c r="B3286" s="2">
        <v>333.95</v>
      </c>
      <c r="C3286" s="2" t="s">
        <v>5013</v>
      </c>
      <c r="D3286" s="2" t="s">
        <v>5011</v>
      </c>
      <c r="E3286" s="2" t="s">
        <v>156</v>
      </c>
      <c r="F3286" s="3">
        <v>43052</v>
      </c>
      <c r="G3286" s="2" t="str">
        <f>"9781469635620"</f>
        <v>9781469635620</v>
      </c>
      <c r="H3286" s="2" t="s">
        <v>14</v>
      </c>
      <c r="I3286" s="4">
        <v>43612.668749999997</v>
      </c>
      <c r="J3286" s="2" t="s">
        <v>5014</v>
      </c>
    </row>
    <row r="3287" spans="1:10" ht="150" x14ac:dyDescent="0.25">
      <c r="A3287" s="2" t="s">
        <v>9440</v>
      </c>
      <c r="B3287" s="2">
        <v>333.71530000000001</v>
      </c>
      <c r="C3287" s="2" t="s">
        <v>9441</v>
      </c>
      <c r="D3287" s="2" t="s">
        <v>9439</v>
      </c>
      <c r="E3287" s="2" t="s">
        <v>1201</v>
      </c>
      <c r="F3287" s="3">
        <v>39126</v>
      </c>
      <c r="G3287" s="2" t="str">
        <f>"9780387353036"</f>
        <v>9780387353036</v>
      </c>
      <c r="H3287" s="2" t="s">
        <v>14</v>
      </c>
      <c r="I3287" s="4">
        <v>43167.443749999999</v>
      </c>
      <c r="J3287" s="2" t="s">
        <v>9442</v>
      </c>
    </row>
    <row r="3288" spans="1:10" ht="135" x14ac:dyDescent="0.25">
      <c r="A3288" s="2" t="s">
        <v>2104</v>
      </c>
      <c r="B3288" s="2" t="s">
        <v>8979</v>
      </c>
      <c r="C3288" s="2" t="s">
        <v>8980</v>
      </c>
      <c r="D3288" s="2" t="s">
        <v>8978</v>
      </c>
      <c r="E3288" s="2" t="s">
        <v>73</v>
      </c>
      <c r="F3288" s="3">
        <v>43179</v>
      </c>
      <c r="G3288" s="2" t="str">
        <f>"9781452956312"</f>
        <v>9781452956312</v>
      </c>
      <c r="H3288" s="2" t="s">
        <v>14</v>
      </c>
      <c r="I3288" s="4">
        <v>43230.910416666666</v>
      </c>
      <c r="J3288" s="2" t="s">
        <v>8981</v>
      </c>
    </row>
    <row r="3289" spans="1:10" ht="135" x14ac:dyDescent="0.25">
      <c r="A3289" s="2" t="s">
        <v>2104</v>
      </c>
      <c r="B3289" s="2">
        <v>577</v>
      </c>
      <c r="C3289" s="2" t="s">
        <v>2105</v>
      </c>
      <c r="D3289" s="2" t="s">
        <v>2103</v>
      </c>
      <c r="E3289" s="2" t="s">
        <v>328</v>
      </c>
      <c r="F3289" s="3">
        <v>42725</v>
      </c>
      <c r="G3289" s="2" t="str">
        <f>"9781498535700"</f>
        <v>9781498535700</v>
      </c>
      <c r="H3289" s="2" t="s">
        <v>14</v>
      </c>
      <c r="I3289" s="4">
        <v>43913.679166666669</v>
      </c>
      <c r="J3289" s="2" t="s">
        <v>2106</v>
      </c>
    </row>
    <row r="3290" spans="1:10" ht="135" x14ac:dyDescent="0.25">
      <c r="A3290" s="2" t="s">
        <v>12290</v>
      </c>
      <c r="B3290" s="2" t="s">
        <v>9684</v>
      </c>
      <c r="C3290" s="2" t="s">
        <v>12291</v>
      </c>
      <c r="D3290" s="2" t="s">
        <v>12289</v>
      </c>
      <c r="E3290" s="2" t="s">
        <v>1706</v>
      </c>
      <c r="F3290" s="3">
        <v>42033</v>
      </c>
      <c r="G3290" s="2" t="str">
        <f>"9781462519095"</f>
        <v>9781462519095</v>
      </c>
      <c r="H3290" s="2" t="s">
        <v>14</v>
      </c>
      <c r="I3290" s="4">
        <v>42819.798611111109</v>
      </c>
      <c r="J3290" s="2" t="s">
        <v>12292</v>
      </c>
    </row>
    <row r="3291" spans="1:10" ht="135" x14ac:dyDescent="0.25">
      <c r="A3291" s="2" t="s">
        <v>10317</v>
      </c>
      <c r="B3291" s="2">
        <v>578.09730903399998</v>
      </c>
      <c r="C3291" s="2" t="s">
        <v>10318</v>
      </c>
      <c r="D3291" s="2" t="s">
        <v>10316</v>
      </c>
      <c r="E3291" s="2" t="s">
        <v>322</v>
      </c>
      <c r="F3291" s="3">
        <v>42019</v>
      </c>
      <c r="G3291" s="2" t="str">
        <f>"9780820347752"</f>
        <v>9780820347752</v>
      </c>
      <c r="H3291" s="2" t="s">
        <v>14</v>
      </c>
      <c r="I3291" s="4">
        <v>43069.402083333334</v>
      </c>
      <c r="J3291" s="2" t="s">
        <v>10319</v>
      </c>
    </row>
    <row r="3292" spans="1:10" ht="135" x14ac:dyDescent="0.25">
      <c r="A3292" s="2" t="s">
        <v>5274</v>
      </c>
      <c r="B3292" s="2">
        <v>553.70899999999995</v>
      </c>
      <c r="C3292" s="2" t="s">
        <v>5275</v>
      </c>
      <c r="D3292" s="2" t="s">
        <v>5273</v>
      </c>
      <c r="E3292" s="2" t="s">
        <v>216</v>
      </c>
      <c r="F3292" s="3">
        <v>43221</v>
      </c>
      <c r="G3292" s="2" t="str">
        <f>"9781438468778"</f>
        <v>9781438468778</v>
      </c>
      <c r="H3292" s="2" t="s">
        <v>14</v>
      </c>
      <c r="I3292" s="4">
        <v>43606.569444444445</v>
      </c>
      <c r="J3292" s="2" t="s">
        <v>5276</v>
      </c>
    </row>
    <row r="3293" spans="1:10" ht="135" x14ac:dyDescent="0.25">
      <c r="A3293" s="2" t="s">
        <v>2891</v>
      </c>
      <c r="B3293" s="2" t="s">
        <v>2892</v>
      </c>
      <c r="C3293" s="2" t="s">
        <v>2893</v>
      </c>
      <c r="D3293" s="2" t="s">
        <v>2890</v>
      </c>
      <c r="E3293" s="2" t="s">
        <v>526</v>
      </c>
      <c r="F3293" s="3">
        <v>33878</v>
      </c>
      <c r="G3293" s="2" t="str">
        <f>"9781477303603"</f>
        <v>9781477303603</v>
      </c>
      <c r="H3293" s="2" t="s">
        <v>14</v>
      </c>
      <c r="I3293" s="4">
        <v>43845.521527777775</v>
      </c>
      <c r="J3293" s="2" t="s">
        <v>2894</v>
      </c>
    </row>
    <row r="3294" spans="1:10" ht="165" x14ac:dyDescent="0.25">
      <c r="A3294" s="2" t="s">
        <v>8482</v>
      </c>
      <c r="B3294" s="2">
        <v>531</v>
      </c>
      <c r="C3294" s="2" t="s">
        <v>8483</v>
      </c>
      <c r="D3294" s="2" t="s">
        <v>8481</v>
      </c>
      <c r="E3294" s="2" t="s">
        <v>28</v>
      </c>
      <c r="F3294" s="3">
        <v>43262</v>
      </c>
      <c r="G3294" s="2" t="str">
        <f>"9780813941264"</f>
        <v>9780813941264</v>
      </c>
      <c r="H3294" s="2" t="s">
        <v>14</v>
      </c>
      <c r="I3294" s="4">
        <v>43301.589583333334</v>
      </c>
      <c r="J3294" s="2" t="s">
        <v>8484</v>
      </c>
    </row>
    <row r="3295" spans="1:10" ht="135" x14ac:dyDescent="0.25">
      <c r="A3295" s="2" t="s">
        <v>6662</v>
      </c>
      <c r="B3295" s="2">
        <v>324.97309051000002</v>
      </c>
      <c r="C3295" s="2" t="s">
        <v>1808</v>
      </c>
      <c r="D3295" s="2" t="s">
        <v>6661</v>
      </c>
      <c r="E3295" s="2" t="s">
        <v>37</v>
      </c>
      <c r="F3295" s="3">
        <v>42948</v>
      </c>
      <c r="G3295" s="2" t="str">
        <f>"9783319525990"</f>
        <v>9783319525990</v>
      </c>
      <c r="H3295" s="2" t="s">
        <v>14</v>
      </c>
      <c r="I3295" s="4">
        <v>43499.127083333333</v>
      </c>
      <c r="J3295" s="2" t="s">
        <v>6663</v>
      </c>
    </row>
    <row r="3296" spans="1:10" ht="135" x14ac:dyDescent="0.25">
      <c r="A3296" s="2" t="s">
        <v>3929</v>
      </c>
      <c r="B3296" s="2">
        <v>612.6</v>
      </c>
      <c r="C3296" s="2" t="s">
        <v>3930</v>
      </c>
      <c r="D3296" s="2" t="s">
        <v>3928</v>
      </c>
      <c r="E3296" s="2" t="s">
        <v>41</v>
      </c>
      <c r="F3296" s="3">
        <v>42444</v>
      </c>
      <c r="G3296" s="2" t="str">
        <f>"9780817389628"</f>
        <v>9780817389628</v>
      </c>
      <c r="H3296" s="2" t="s">
        <v>14</v>
      </c>
      <c r="I3296" s="4">
        <v>43737.686805555553</v>
      </c>
      <c r="J3296" s="2" t="s">
        <v>3931</v>
      </c>
    </row>
    <row r="3297" spans="1:10" ht="135" x14ac:dyDescent="0.25">
      <c r="A3297" s="2" t="s">
        <v>6290</v>
      </c>
      <c r="B3297" s="2">
        <v>612.86</v>
      </c>
      <c r="C3297" s="2" t="s">
        <v>6291</v>
      </c>
      <c r="D3297" s="2" t="s">
        <v>6289</v>
      </c>
      <c r="E3297" s="2" t="s">
        <v>2846</v>
      </c>
      <c r="F3297" s="3">
        <v>43454</v>
      </c>
      <c r="G3297" s="2" t="str">
        <f>"9781946684691"</f>
        <v>9781946684691</v>
      </c>
      <c r="H3297" s="2" t="s">
        <v>14</v>
      </c>
      <c r="I3297" s="4">
        <v>43526.620833333334</v>
      </c>
      <c r="J3297" s="2" t="s">
        <v>6292</v>
      </c>
    </row>
    <row r="3298" spans="1:10" ht="135" x14ac:dyDescent="0.25">
      <c r="A3298" s="2" t="s">
        <v>7953</v>
      </c>
      <c r="B3298" s="2">
        <v>520.91999999999996</v>
      </c>
      <c r="C3298" s="2" t="s">
        <v>7954</v>
      </c>
      <c r="D3298" s="2" t="s">
        <v>7952</v>
      </c>
      <c r="E3298" s="2" t="s">
        <v>1291</v>
      </c>
      <c r="F3298" s="3">
        <v>41885</v>
      </c>
      <c r="G3298" s="2" t="str">
        <f>"9781624661358"</f>
        <v>9781624661358</v>
      </c>
      <c r="H3298" s="2" t="s">
        <v>14</v>
      </c>
      <c r="I3298" s="4">
        <v>43371.924305555556</v>
      </c>
      <c r="J3298" s="2" t="s">
        <v>7955</v>
      </c>
    </row>
    <row r="3299" spans="1:10" ht="150" x14ac:dyDescent="0.25">
      <c r="A3299" s="2" t="s">
        <v>1953</v>
      </c>
      <c r="B3299" s="2" t="s">
        <v>1954</v>
      </c>
      <c r="C3299" s="2" t="s">
        <v>1955</v>
      </c>
      <c r="D3299" s="2" t="s">
        <v>1951</v>
      </c>
      <c r="E3299" s="2" t="s">
        <v>1952</v>
      </c>
      <c r="F3299" s="3">
        <v>41849</v>
      </c>
      <c r="G3299" s="2" t="str">
        <f>"9781439836620"</f>
        <v>9781439836620</v>
      </c>
      <c r="H3299" s="2" t="s">
        <v>14</v>
      </c>
      <c r="I3299" s="4">
        <v>43920.488888888889</v>
      </c>
      <c r="J3299" s="2" t="s">
        <v>1956</v>
      </c>
    </row>
    <row r="3300" spans="1:10" ht="135" x14ac:dyDescent="0.25">
      <c r="A3300" s="2" t="s">
        <v>1953</v>
      </c>
      <c r="B3300" s="2">
        <v>577</v>
      </c>
      <c r="C3300" s="2" t="s">
        <v>9412</v>
      </c>
      <c r="D3300" s="2" t="s">
        <v>9411</v>
      </c>
      <c r="E3300" s="2" t="s">
        <v>73</v>
      </c>
      <c r="F3300" s="3">
        <v>42049</v>
      </c>
      <c r="G3300" s="2" t="str">
        <f>"9781452943824"</f>
        <v>9781452943824</v>
      </c>
      <c r="H3300" s="2" t="s">
        <v>14</v>
      </c>
      <c r="I3300" s="4">
        <v>43172.649305555555</v>
      </c>
      <c r="J3300" s="2" t="s">
        <v>9413</v>
      </c>
    </row>
    <row r="3301" spans="1:10" ht="135" x14ac:dyDescent="0.25">
      <c r="A3301" s="2" t="s">
        <v>1953</v>
      </c>
      <c r="B3301" s="2">
        <v>574.09</v>
      </c>
      <c r="C3301" s="2" t="s">
        <v>7923</v>
      </c>
      <c r="D3301" s="2" t="s">
        <v>7922</v>
      </c>
      <c r="E3301" s="2" t="s">
        <v>397</v>
      </c>
      <c r="F3301" s="3">
        <v>43284</v>
      </c>
      <c r="G3301" s="2" t="str">
        <f>"9780822986058"</f>
        <v>9780822986058</v>
      </c>
      <c r="H3301" s="2" t="s">
        <v>14</v>
      </c>
      <c r="I3301" s="4">
        <v>43376.40347222222</v>
      </c>
      <c r="J3301" s="2" t="s">
        <v>7924</v>
      </c>
    </row>
    <row r="3302" spans="1:10" ht="180" x14ac:dyDescent="0.25">
      <c r="A3302" s="2" t="s">
        <v>1953</v>
      </c>
      <c r="B3302" s="2" t="s">
        <v>3898</v>
      </c>
      <c r="C3302" s="2" t="s">
        <v>3899</v>
      </c>
      <c r="D3302" s="2" t="s">
        <v>3897</v>
      </c>
      <c r="E3302" s="2" t="s">
        <v>41</v>
      </c>
      <c r="F3302" s="3">
        <v>43319</v>
      </c>
      <c r="G3302" s="2" t="str">
        <f>"9780817391874"</f>
        <v>9780817391874</v>
      </c>
      <c r="H3302" s="2" t="s">
        <v>14</v>
      </c>
      <c r="I3302" s="4">
        <v>43741.456944444442</v>
      </c>
      <c r="J3302" s="2" t="s">
        <v>3900</v>
      </c>
    </row>
    <row r="3303" spans="1:10" ht="135" x14ac:dyDescent="0.25">
      <c r="A3303" s="2" t="s">
        <v>1953</v>
      </c>
      <c r="C3303" s="2" t="s">
        <v>3937</v>
      </c>
      <c r="D3303" s="2" t="s">
        <v>3936</v>
      </c>
      <c r="E3303" s="2" t="s">
        <v>11</v>
      </c>
      <c r="F3303" s="3">
        <v>43282</v>
      </c>
      <c r="G3303" s="2" t="str">
        <f>"9780813230429"</f>
        <v>9780813230429</v>
      </c>
      <c r="H3303" s="2" t="s">
        <v>14</v>
      </c>
      <c r="I3303" s="4">
        <v>43737.460416666669</v>
      </c>
      <c r="J3303" s="2" t="s">
        <v>3938</v>
      </c>
    </row>
    <row r="3304" spans="1:10" ht="135" x14ac:dyDescent="0.25">
      <c r="A3304" s="2" t="s">
        <v>1953</v>
      </c>
      <c r="C3304" s="2" t="s">
        <v>2784</v>
      </c>
      <c r="D3304" s="2" t="s">
        <v>2782</v>
      </c>
      <c r="E3304" s="2" t="s">
        <v>2783</v>
      </c>
      <c r="F3304" s="3">
        <v>42594</v>
      </c>
      <c r="G3304" s="2" t="str">
        <f>"9783905758870"</f>
        <v>9783905758870</v>
      </c>
      <c r="H3304" s="2" t="s">
        <v>14</v>
      </c>
      <c r="I3304" s="4">
        <v>43855.209027777775</v>
      </c>
      <c r="J3304" s="2" t="s">
        <v>2785</v>
      </c>
    </row>
    <row r="3305" spans="1:10" ht="135" x14ac:dyDescent="0.25">
      <c r="A3305" s="2" t="s">
        <v>1953</v>
      </c>
      <c r="B3305" s="2">
        <v>599.92999999999995</v>
      </c>
      <c r="C3305" s="2" t="s">
        <v>2685</v>
      </c>
      <c r="D3305" s="2" t="s">
        <v>2684</v>
      </c>
      <c r="E3305" s="2" t="s">
        <v>705</v>
      </c>
      <c r="F3305" s="3">
        <v>42304</v>
      </c>
      <c r="G3305" s="2" t="str">
        <f>"9781400874279"</f>
        <v>9781400874279</v>
      </c>
      <c r="H3305" s="2" t="s">
        <v>14</v>
      </c>
      <c r="I3305" s="4">
        <v>43864.912499999999</v>
      </c>
      <c r="J3305" s="2" t="s">
        <v>2686</v>
      </c>
    </row>
    <row r="3306" spans="1:10" ht="135" x14ac:dyDescent="0.25">
      <c r="A3306" s="2" t="s">
        <v>9072</v>
      </c>
      <c r="B3306" s="2">
        <v>576.82000000000005</v>
      </c>
      <c r="C3306" s="2" t="s">
        <v>9073</v>
      </c>
      <c r="D3306" s="2" t="s">
        <v>9071</v>
      </c>
      <c r="E3306" s="2" t="s">
        <v>627</v>
      </c>
      <c r="F3306" s="3">
        <v>42093</v>
      </c>
      <c r="G3306" s="2" t="str">
        <f>"9789633860786"</f>
        <v>9789633860786</v>
      </c>
      <c r="H3306" s="2" t="s">
        <v>14</v>
      </c>
      <c r="I3306" s="4">
        <v>43220.329861111109</v>
      </c>
      <c r="J3306" s="2" t="s">
        <v>9074</v>
      </c>
    </row>
    <row r="3307" spans="1:10" ht="135" x14ac:dyDescent="0.25">
      <c r="A3307" s="2" t="s">
        <v>9648</v>
      </c>
      <c r="B3307" s="2">
        <v>599.9</v>
      </c>
      <c r="C3307" s="2" t="s">
        <v>9649</v>
      </c>
      <c r="D3307" s="2" t="s">
        <v>9647</v>
      </c>
      <c r="E3307" s="2" t="s">
        <v>54</v>
      </c>
      <c r="F3307" s="3">
        <v>42083</v>
      </c>
      <c r="G3307" s="2" t="str">
        <f>"9780804794886"</f>
        <v>9780804794886</v>
      </c>
      <c r="H3307" s="2" t="s">
        <v>14</v>
      </c>
      <c r="I3307" s="4">
        <v>43140.62777777778</v>
      </c>
      <c r="J3307" s="2" t="s">
        <v>9650</v>
      </c>
    </row>
    <row r="3308" spans="1:10" ht="135" x14ac:dyDescent="0.25">
      <c r="A3308" s="2" t="s">
        <v>358</v>
      </c>
      <c r="B3308" s="2">
        <v>501</v>
      </c>
      <c r="C3308" s="2" t="s">
        <v>1878</v>
      </c>
      <c r="D3308" s="2" t="s">
        <v>4939</v>
      </c>
      <c r="E3308" s="2" t="s">
        <v>397</v>
      </c>
      <c r="F3308" s="3">
        <v>43382</v>
      </c>
      <c r="G3308" s="2" t="str">
        <f>"9780822986287"</f>
        <v>9780822986287</v>
      </c>
      <c r="H3308" s="2" t="s">
        <v>14</v>
      </c>
      <c r="I3308" s="4">
        <v>43616.818055555559</v>
      </c>
      <c r="J3308" s="2" t="s">
        <v>4940</v>
      </c>
    </row>
    <row r="3309" spans="1:10" ht="135" x14ac:dyDescent="0.25">
      <c r="A3309" s="2" t="s">
        <v>358</v>
      </c>
      <c r="B3309" s="2">
        <v>507.1</v>
      </c>
      <c r="C3309" s="2" t="s">
        <v>7496</v>
      </c>
      <c r="D3309" s="2" t="s">
        <v>7495</v>
      </c>
      <c r="E3309" s="2" t="s">
        <v>3315</v>
      </c>
      <c r="F3309" s="3">
        <v>41852</v>
      </c>
      <c r="G3309" s="2" t="str">
        <f>"9781623967161"</f>
        <v>9781623967161</v>
      </c>
      <c r="H3309" s="2" t="s">
        <v>14</v>
      </c>
      <c r="I3309" s="4">
        <v>43412.440972222219</v>
      </c>
      <c r="J3309" s="2" t="s">
        <v>7497</v>
      </c>
    </row>
    <row r="3310" spans="1:10" ht="135" x14ac:dyDescent="0.25">
      <c r="A3310" s="2" t="s">
        <v>358</v>
      </c>
      <c r="B3310" s="2">
        <v>509.03399999999999</v>
      </c>
      <c r="C3310" s="2" t="s">
        <v>7972</v>
      </c>
      <c r="D3310" s="2" t="s">
        <v>7971</v>
      </c>
      <c r="E3310" s="2" t="s">
        <v>397</v>
      </c>
      <c r="F3310" s="3">
        <v>42899</v>
      </c>
      <c r="G3310" s="2" t="str">
        <f>"9780822982753"</f>
        <v>9780822982753</v>
      </c>
      <c r="H3310" s="2" t="s">
        <v>14</v>
      </c>
      <c r="I3310" s="4">
        <v>43369.61041666667</v>
      </c>
      <c r="J3310" s="2" t="s">
        <v>7973</v>
      </c>
    </row>
    <row r="3311" spans="1:10" ht="135" x14ac:dyDescent="0.25">
      <c r="A3311" s="2" t="s">
        <v>358</v>
      </c>
      <c r="B3311" s="2">
        <v>501</v>
      </c>
      <c r="C3311" s="2" t="s">
        <v>1878</v>
      </c>
      <c r="D3311" s="2" t="s">
        <v>3450</v>
      </c>
      <c r="E3311" s="2" t="s">
        <v>397</v>
      </c>
      <c r="F3311" s="3">
        <v>42766</v>
      </c>
      <c r="G3311" s="2" t="str">
        <f>"9780822981534"</f>
        <v>9780822981534</v>
      </c>
      <c r="H3311" s="2" t="s">
        <v>14</v>
      </c>
      <c r="I3311" s="4">
        <v>43781.59375</v>
      </c>
      <c r="J3311" s="2" t="s">
        <v>3451</v>
      </c>
    </row>
    <row r="3312" spans="1:10" ht="180" x14ac:dyDescent="0.25">
      <c r="A3312" s="2" t="s">
        <v>358</v>
      </c>
      <c r="B3312" s="2">
        <v>501.09199999999998</v>
      </c>
      <c r="C3312" s="2" t="s">
        <v>359</v>
      </c>
      <c r="D3312" s="2" t="s">
        <v>357</v>
      </c>
      <c r="E3312" s="2" t="s">
        <v>216</v>
      </c>
      <c r="F3312" s="3">
        <v>43586</v>
      </c>
      <c r="G3312" s="2" t="str">
        <f>"9781438473680"</f>
        <v>9781438473680</v>
      </c>
      <c r="H3312" s="2" t="s">
        <v>14</v>
      </c>
      <c r="I3312" s="4">
        <v>44035.378472222219</v>
      </c>
      <c r="J3312" s="2" t="s">
        <v>360</v>
      </c>
    </row>
    <row r="3313" spans="1:10" ht="135" x14ac:dyDescent="0.25">
      <c r="A3313" s="2" t="s">
        <v>358</v>
      </c>
      <c r="B3313" s="2" t="s">
        <v>1292</v>
      </c>
      <c r="C3313" s="2" t="s">
        <v>1293</v>
      </c>
      <c r="D3313" s="2" t="s">
        <v>1290</v>
      </c>
      <c r="E3313" s="2" t="s">
        <v>1291</v>
      </c>
      <c r="F3313" s="3">
        <v>38061</v>
      </c>
      <c r="G3313" s="2" t="str">
        <f>"9781603840729"</f>
        <v>9781603840729</v>
      </c>
      <c r="H3313" s="2" t="s">
        <v>14</v>
      </c>
      <c r="I3313" s="4">
        <v>43951.414583333331</v>
      </c>
      <c r="J3313" s="2" t="s">
        <v>1294</v>
      </c>
    </row>
    <row r="3314" spans="1:10" ht="135" x14ac:dyDescent="0.25">
      <c r="A3314" s="2" t="s">
        <v>3834</v>
      </c>
      <c r="B3314" s="2">
        <v>530.09199999999998</v>
      </c>
      <c r="C3314" s="2" t="s">
        <v>6894</v>
      </c>
      <c r="D3314" s="2" t="s">
        <v>6893</v>
      </c>
      <c r="E3314" s="2" t="s">
        <v>705</v>
      </c>
      <c r="F3314" s="3">
        <v>42304</v>
      </c>
      <c r="G3314" s="2" t="str">
        <f>"9781400873364"</f>
        <v>9781400873364</v>
      </c>
      <c r="H3314" s="2" t="s">
        <v>14</v>
      </c>
      <c r="I3314" s="4">
        <v>43477.779166666667</v>
      </c>
      <c r="J3314" s="2" t="s">
        <v>6895</v>
      </c>
    </row>
    <row r="3315" spans="1:10" ht="135" x14ac:dyDescent="0.25">
      <c r="A3315" s="2" t="s">
        <v>3834</v>
      </c>
      <c r="B3315" s="2" t="s">
        <v>5677</v>
      </c>
      <c r="C3315" s="2" t="s">
        <v>5678</v>
      </c>
      <c r="D3315" s="2" t="s">
        <v>5676</v>
      </c>
      <c r="E3315" s="2" t="s">
        <v>397</v>
      </c>
      <c r="F3315" s="3">
        <v>43375</v>
      </c>
      <c r="G3315" s="2" t="str">
        <f>"9780822986294"</f>
        <v>9780822986294</v>
      </c>
      <c r="H3315" s="2" t="s">
        <v>14</v>
      </c>
      <c r="I3315" s="4">
        <v>43582.368750000001</v>
      </c>
      <c r="J3315" s="2" t="s">
        <v>5679</v>
      </c>
    </row>
    <row r="3316" spans="1:10" ht="135" x14ac:dyDescent="0.25">
      <c r="A3316" s="2" t="s">
        <v>3834</v>
      </c>
      <c r="B3316" s="2">
        <v>530.09220000000005</v>
      </c>
      <c r="C3316" s="2" t="s">
        <v>3835</v>
      </c>
      <c r="D3316" s="2" t="s">
        <v>3833</v>
      </c>
      <c r="E3316" s="2" t="s">
        <v>54</v>
      </c>
      <c r="F3316" s="3">
        <v>43417</v>
      </c>
      <c r="G3316" s="2" t="str">
        <f>"9781503607378"</f>
        <v>9781503607378</v>
      </c>
      <c r="H3316" s="2" t="s">
        <v>14</v>
      </c>
      <c r="I3316" s="4">
        <v>43752.40902777778</v>
      </c>
      <c r="J3316" s="2" t="s">
        <v>3836</v>
      </c>
    </row>
    <row r="3317" spans="1:10" ht="135" x14ac:dyDescent="0.25">
      <c r="A3317" s="2" t="s">
        <v>7780</v>
      </c>
      <c r="B3317" s="2" t="s">
        <v>7781</v>
      </c>
      <c r="C3317" s="2" t="s">
        <v>7782</v>
      </c>
      <c r="D3317" s="2" t="s">
        <v>7779</v>
      </c>
      <c r="E3317" s="2" t="s">
        <v>499</v>
      </c>
      <c r="F3317" s="3">
        <v>42856</v>
      </c>
      <c r="G3317" s="2" t="str">
        <f>"9781626164369"</f>
        <v>9781626164369</v>
      </c>
      <c r="H3317" s="2" t="s">
        <v>14</v>
      </c>
      <c r="I3317" s="4">
        <v>43390.462500000001</v>
      </c>
      <c r="J3317" s="2" t="s">
        <v>7783</v>
      </c>
    </row>
    <row r="3318" spans="1:10" ht="135" x14ac:dyDescent="0.25">
      <c r="A3318" s="2" t="s">
        <v>2093</v>
      </c>
      <c r="B3318" s="2">
        <v>591.5</v>
      </c>
      <c r="C3318" s="2" t="s">
        <v>2094</v>
      </c>
      <c r="D3318" s="2" t="s">
        <v>2092</v>
      </c>
      <c r="E3318" s="2" t="s">
        <v>73</v>
      </c>
      <c r="F3318" s="3">
        <v>42505</v>
      </c>
      <c r="G3318" s="2" t="str">
        <f>"9781452950532"</f>
        <v>9781452950532</v>
      </c>
      <c r="H3318" s="2" t="s">
        <v>14</v>
      </c>
      <c r="I3318" s="4">
        <v>43914.49722222222</v>
      </c>
      <c r="J3318" s="2" t="s">
        <v>2095</v>
      </c>
    </row>
    <row r="3319" spans="1:10" ht="150" x14ac:dyDescent="0.25">
      <c r="A3319" s="2" t="s">
        <v>8827</v>
      </c>
      <c r="B3319" s="2" t="s">
        <v>8828</v>
      </c>
      <c r="C3319" s="2" t="s">
        <v>8829</v>
      </c>
      <c r="D3319" s="2" t="s">
        <v>8826</v>
      </c>
      <c r="E3319" s="2" t="s">
        <v>156</v>
      </c>
      <c r="F3319" s="3">
        <v>42674</v>
      </c>
      <c r="G3319" s="2" t="str">
        <f>"9781469629490"</f>
        <v>9781469629490</v>
      </c>
      <c r="H3319" s="2" t="s">
        <v>14</v>
      </c>
      <c r="I3319" s="4">
        <v>43249.599999999999</v>
      </c>
      <c r="J3319" s="2" t="s">
        <v>8830</v>
      </c>
    </row>
    <row r="3320" spans="1:10" ht="135" x14ac:dyDescent="0.25">
      <c r="A3320" s="2" t="s">
        <v>8827</v>
      </c>
      <c r="B3320" s="2">
        <v>306.76609410904501</v>
      </c>
      <c r="C3320" s="2" t="s">
        <v>1808</v>
      </c>
      <c r="D3320" s="2" t="s">
        <v>10110</v>
      </c>
      <c r="E3320" s="2" t="s">
        <v>17</v>
      </c>
      <c r="F3320" s="3">
        <v>42408</v>
      </c>
      <c r="G3320" s="2" t="str">
        <f>"9781137321503"</f>
        <v>9781137321503</v>
      </c>
      <c r="H3320" s="2" t="s">
        <v>14</v>
      </c>
      <c r="I3320" s="4">
        <v>43100.636111111111</v>
      </c>
      <c r="J3320" s="2" t="s">
        <v>10111</v>
      </c>
    </row>
    <row r="3321" spans="1:10" ht="135" x14ac:dyDescent="0.25">
      <c r="A3321" s="2" t="s">
        <v>7200</v>
      </c>
      <c r="B3321" s="2">
        <v>599.90940999999998</v>
      </c>
      <c r="C3321" s="2" t="s">
        <v>7201</v>
      </c>
      <c r="D3321" s="2" t="s">
        <v>7199</v>
      </c>
      <c r="E3321" s="2" t="s">
        <v>397</v>
      </c>
      <c r="F3321" s="3">
        <v>43245</v>
      </c>
      <c r="G3321" s="2" t="str">
        <f>"9780822986072"</f>
        <v>9780822986072</v>
      </c>
      <c r="H3321" s="2" t="s">
        <v>14</v>
      </c>
      <c r="I3321" s="4">
        <v>43434.658333333333</v>
      </c>
      <c r="J3321" s="2" t="s">
        <v>7202</v>
      </c>
    </row>
    <row r="3322" spans="1:10" ht="135" x14ac:dyDescent="0.25">
      <c r="A3322" s="2" t="s">
        <v>29</v>
      </c>
      <c r="B3322" s="2">
        <v>305.42092000000002</v>
      </c>
      <c r="D3322" s="2" t="s">
        <v>4077</v>
      </c>
      <c r="E3322" s="2" t="s">
        <v>846</v>
      </c>
      <c r="F3322" s="3">
        <v>42040</v>
      </c>
      <c r="G3322" s="2" t="str">
        <f>"9781442669017"</f>
        <v>9781442669017</v>
      </c>
      <c r="H3322" s="2" t="s">
        <v>14</v>
      </c>
      <c r="I3322" s="4">
        <v>43717.412499999999</v>
      </c>
      <c r="J3322" s="2" t="s">
        <v>4078</v>
      </c>
    </row>
    <row r="3323" spans="1:10" ht="135" x14ac:dyDescent="0.25">
      <c r="A3323" s="2" t="s">
        <v>29</v>
      </c>
      <c r="B3323" s="2" t="s">
        <v>7684</v>
      </c>
      <c r="C3323" s="2" t="s">
        <v>7685</v>
      </c>
      <c r="D3323" s="2" t="s">
        <v>7683</v>
      </c>
      <c r="E3323" s="2" t="s">
        <v>156</v>
      </c>
      <c r="F3323" s="3">
        <v>41918</v>
      </c>
      <c r="G3323" s="2" t="str">
        <f>"9781469618432"</f>
        <v>9781469618432</v>
      </c>
      <c r="H3323" s="2" t="s">
        <v>14</v>
      </c>
      <c r="I3323" s="4">
        <v>43400.35833333333</v>
      </c>
      <c r="J3323" s="2" t="s">
        <v>7686</v>
      </c>
    </row>
    <row r="3324" spans="1:10" ht="135" x14ac:dyDescent="0.25">
      <c r="A3324" s="2" t="s">
        <v>29</v>
      </c>
      <c r="B3324" s="2">
        <v>307.14159999999998</v>
      </c>
      <c r="C3324" s="2" t="s">
        <v>1030</v>
      </c>
      <c r="D3324" s="2" t="s">
        <v>1029</v>
      </c>
      <c r="E3324" s="2" t="s">
        <v>23</v>
      </c>
      <c r="F3324" s="3">
        <v>43907</v>
      </c>
      <c r="G3324" s="2" t="str">
        <f>"9780814342985"</f>
        <v>9780814342985</v>
      </c>
      <c r="H3324" s="2" t="s">
        <v>14</v>
      </c>
      <c r="I3324" s="4">
        <v>43968.672222222223</v>
      </c>
      <c r="J3324" s="2" t="s">
        <v>1031</v>
      </c>
    </row>
    <row r="3325" spans="1:10" ht="135" x14ac:dyDescent="0.25">
      <c r="A3325" s="2" t="s">
        <v>29</v>
      </c>
      <c r="B3325" s="2" t="s">
        <v>3584</v>
      </c>
      <c r="C3325" s="2" t="s">
        <v>3585</v>
      </c>
      <c r="D3325" s="2" t="s">
        <v>3583</v>
      </c>
      <c r="E3325" s="2" t="s">
        <v>105</v>
      </c>
      <c r="F3325" s="3">
        <v>43528</v>
      </c>
      <c r="G3325" s="2" t="str">
        <f>"9781610756556"</f>
        <v>9781610756556</v>
      </c>
      <c r="H3325" s="2" t="s">
        <v>14</v>
      </c>
      <c r="I3325" s="4">
        <v>43773.645833333336</v>
      </c>
      <c r="J3325" s="2" t="s">
        <v>3586</v>
      </c>
    </row>
    <row r="3326" spans="1:10" ht="135" x14ac:dyDescent="0.25">
      <c r="A3326" s="2" t="s">
        <v>29</v>
      </c>
      <c r="B3326" s="2">
        <v>303.48409679999997</v>
      </c>
      <c r="C3326" s="2" t="s">
        <v>4893</v>
      </c>
      <c r="D3326" s="2" t="s">
        <v>4892</v>
      </c>
      <c r="E3326" s="2" t="s">
        <v>216</v>
      </c>
      <c r="F3326" s="3">
        <v>43160</v>
      </c>
      <c r="G3326" s="2" t="str">
        <f>"9781438469782"</f>
        <v>9781438469782</v>
      </c>
      <c r="H3326" s="2" t="s">
        <v>14</v>
      </c>
      <c r="I3326" s="4">
        <v>43619.054166666669</v>
      </c>
      <c r="J3326" s="2" t="s">
        <v>4894</v>
      </c>
    </row>
    <row r="3327" spans="1:10" ht="135" x14ac:dyDescent="0.25">
      <c r="A3327" s="2" t="s">
        <v>29</v>
      </c>
      <c r="B3327" s="2">
        <v>302.23</v>
      </c>
      <c r="C3327" s="2" t="s">
        <v>7263</v>
      </c>
      <c r="D3327" s="2" t="s">
        <v>7378</v>
      </c>
      <c r="E3327" s="2" t="s">
        <v>578</v>
      </c>
      <c r="F3327" s="3">
        <v>42128</v>
      </c>
      <c r="G3327" s="2" t="str">
        <f>"9780252097232"</f>
        <v>9780252097232</v>
      </c>
      <c r="H3327" s="2" t="s">
        <v>14</v>
      </c>
      <c r="I3327" s="4">
        <v>43421.590277777781</v>
      </c>
      <c r="J3327" s="2" t="s">
        <v>7379</v>
      </c>
    </row>
    <row r="3328" spans="1:10" ht="135" x14ac:dyDescent="0.25">
      <c r="A3328" s="2" t="s">
        <v>29</v>
      </c>
      <c r="B3328" s="2">
        <v>391.00959999999998</v>
      </c>
      <c r="C3328" s="2" t="s">
        <v>915</v>
      </c>
      <c r="D3328" s="2" t="s">
        <v>914</v>
      </c>
      <c r="E3328" s="2" t="s">
        <v>436</v>
      </c>
      <c r="F3328" s="3">
        <v>41333</v>
      </c>
      <c r="G3328" s="2" t="str">
        <f>"9780857858207"</f>
        <v>9780857858207</v>
      </c>
      <c r="H3328" s="2" t="s">
        <v>14</v>
      </c>
      <c r="I3328" s="4">
        <v>43975.751388888886</v>
      </c>
      <c r="J3328" s="2" t="s">
        <v>916</v>
      </c>
    </row>
    <row r="3329" spans="1:10" ht="135" x14ac:dyDescent="0.25">
      <c r="A3329" s="2" t="s">
        <v>29</v>
      </c>
      <c r="B3329" s="2">
        <v>363.32499999999999</v>
      </c>
      <c r="C3329" s="2" t="s">
        <v>8538</v>
      </c>
      <c r="D3329" s="2" t="s">
        <v>8537</v>
      </c>
      <c r="E3329" s="2" t="s">
        <v>846</v>
      </c>
      <c r="F3329" s="3">
        <v>42124</v>
      </c>
      <c r="G3329" s="2" t="str">
        <f>"9781442630024"</f>
        <v>9781442630024</v>
      </c>
      <c r="H3329" s="2" t="s">
        <v>14</v>
      </c>
      <c r="I3329" s="4">
        <v>43293.665277777778</v>
      </c>
      <c r="J3329" s="2" t="s">
        <v>8539</v>
      </c>
    </row>
    <row r="3330" spans="1:10" ht="135" x14ac:dyDescent="0.25">
      <c r="A3330" s="2" t="s">
        <v>29</v>
      </c>
      <c r="B3330" s="2">
        <v>364.15320000000003</v>
      </c>
      <c r="C3330" s="2" t="s">
        <v>486</v>
      </c>
      <c r="D3330" s="2" t="s">
        <v>484</v>
      </c>
      <c r="E3330" s="2" t="s">
        <v>485</v>
      </c>
      <c r="F3330" s="3">
        <v>41541</v>
      </c>
      <c r="G3330" s="2" t="str">
        <f>"9781480441958"</f>
        <v>9781480441958</v>
      </c>
      <c r="H3330" s="2" t="s">
        <v>14</v>
      </c>
      <c r="I3330" s="4">
        <v>44019.620833333334</v>
      </c>
      <c r="J3330" s="2" t="s">
        <v>487</v>
      </c>
    </row>
    <row r="3331" spans="1:10" ht="135" x14ac:dyDescent="0.25">
      <c r="A3331" s="2" t="s">
        <v>29</v>
      </c>
      <c r="B3331" s="2" t="s">
        <v>10605</v>
      </c>
      <c r="C3331" s="2" t="s">
        <v>10606</v>
      </c>
      <c r="D3331" s="2" t="s">
        <v>10604</v>
      </c>
      <c r="E3331" s="2" t="s">
        <v>73</v>
      </c>
      <c r="F3331" s="3">
        <v>42444</v>
      </c>
      <c r="G3331" s="2" t="str">
        <f>"9781452950389"</f>
        <v>9781452950389</v>
      </c>
      <c r="H3331" s="2" t="s">
        <v>14</v>
      </c>
      <c r="I3331" s="4">
        <v>43047.533333333333</v>
      </c>
      <c r="J3331" s="2" t="s">
        <v>10607</v>
      </c>
    </row>
    <row r="3332" spans="1:10" ht="135" x14ac:dyDescent="0.25">
      <c r="A3332" s="2" t="s">
        <v>29</v>
      </c>
      <c r="B3332" s="2">
        <v>363.32506000000001</v>
      </c>
      <c r="C3332" s="2" t="s">
        <v>7450</v>
      </c>
      <c r="D3332" s="2" t="s">
        <v>7449</v>
      </c>
      <c r="E3332" s="2" t="s">
        <v>235</v>
      </c>
      <c r="F3332" s="3">
        <v>42242</v>
      </c>
      <c r="G3332" s="2" t="str">
        <f>"9781440828713"</f>
        <v>9781440828713</v>
      </c>
      <c r="H3332" s="2" t="s">
        <v>14</v>
      </c>
      <c r="I3332" s="4">
        <v>43415.958333333336</v>
      </c>
      <c r="J3332" s="2" t="s">
        <v>7451</v>
      </c>
    </row>
    <row r="3333" spans="1:10" ht="135" x14ac:dyDescent="0.25">
      <c r="A3333" s="2" t="s">
        <v>29</v>
      </c>
      <c r="B3333" s="2">
        <v>305.409761</v>
      </c>
      <c r="C3333" s="2" t="s">
        <v>3634</v>
      </c>
      <c r="D3333" s="2" t="s">
        <v>3633</v>
      </c>
      <c r="E3333" s="2" t="s">
        <v>322</v>
      </c>
      <c r="F3333" s="3">
        <v>42887</v>
      </c>
      <c r="G3333" s="2" t="str">
        <f>"9780820350776"</f>
        <v>9780820350776</v>
      </c>
      <c r="H3333" s="2" t="s">
        <v>14</v>
      </c>
      <c r="I3333" s="4">
        <v>43770.539583333331</v>
      </c>
      <c r="J3333" s="2" t="s">
        <v>3635</v>
      </c>
    </row>
    <row r="3334" spans="1:10" ht="135" x14ac:dyDescent="0.25">
      <c r="A3334" s="2" t="s">
        <v>29</v>
      </c>
      <c r="B3334" s="2">
        <v>394.13</v>
      </c>
      <c r="C3334" s="2" t="s">
        <v>11464</v>
      </c>
      <c r="D3334" s="2" t="s">
        <v>11463</v>
      </c>
      <c r="E3334" s="2" t="s">
        <v>156</v>
      </c>
      <c r="F3334" s="3">
        <v>41925</v>
      </c>
      <c r="G3334" s="2" t="str">
        <f>"9781469617626"</f>
        <v>9781469617626</v>
      </c>
      <c r="H3334" s="2" t="s">
        <v>14</v>
      </c>
      <c r="I3334" s="4">
        <v>42958.398611111108</v>
      </c>
      <c r="J3334" s="2" t="s">
        <v>11465</v>
      </c>
    </row>
    <row r="3335" spans="1:10" ht="135" x14ac:dyDescent="0.25">
      <c r="A3335" s="2" t="s">
        <v>29</v>
      </c>
      <c r="B3335" s="2" t="s">
        <v>12529</v>
      </c>
      <c r="C3335" s="2" t="s">
        <v>12530</v>
      </c>
      <c r="D3335" s="2" t="s">
        <v>12528</v>
      </c>
      <c r="E3335" s="2" t="s">
        <v>216</v>
      </c>
      <c r="F3335" s="3">
        <v>39331</v>
      </c>
      <c r="G3335" s="2" t="str">
        <f>"9780791479513"</f>
        <v>9780791479513</v>
      </c>
      <c r="H3335" s="2" t="s">
        <v>14</v>
      </c>
      <c r="I3335" s="4">
        <v>42797.474999999999</v>
      </c>
      <c r="J3335" s="2" t="s">
        <v>12531</v>
      </c>
    </row>
    <row r="3336" spans="1:10" ht="135" x14ac:dyDescent="0.25">
      <c r="A3336" s="2" t="s">
        <v>29</v>
      </c>
      <c r="B3336" s="2" t="s">
        <v>6420</v>
      </c>
      <c r="C3336" s="2" t="s">
        <v>6421</v>
      </c>
      <c r="D3336" s="2" t="s">
        <v>6419</v>
      </c>
      <c r="E3336" s="2" t="s">
        <v>73</v>
      </c>
      <c r="F3336" s="3">
        <v>42401</v>
      </c>
      <c r="G3336" s="2" t="str">
        <f>"9781452945460"</f>
        <v>9781452945460</v>
      </c>
      <c r="H3336" s="2" t="s">
        <v>14</v>
      </c>
      <c r="I3336" s="4">
        <v>43518.857638888891</v>
      </c>
      <c r="J3336" s="2" t="s">
        <v>6422</v>
      </c>
    </row>
    <row r="3337" spans="1:10" ht="135" x14ac:dyDescent="0.25">
      <c r="A3337" s="2" t="s">
        <v>29</v>
      </c>
      <c r="B3337" s="2">
        <v>393</v>
      </c>
      <c r="C3337" s="2" t="s">
        <v>5508</v>
      </c>
      <c r="D3337" s="2" t="s">
        <v>5507</v>
      </c>
      <c r="E3337" s="2" t="s">
        <v>322</v>
      </c>
      <c r="F3337" s="3">
        <v>41713</v>
      </c>
      <c r="G3337" s="2" t="str">
        <f>"9780820346892"</f>
        <v>9780820346892</v>
      </c>
      <c r="H3337" s="2" t="s">
        <v>14</v>
      </c>
      <c r="I3337" s="4">
        <v>43594.411111111112</v>
      </c>
      <c r="J3337" s="2" t="s">
        <v>5509</v>
      </c>
    </row>
    <row r="3338" spans="1:10" ht="135" x14ac:dyDescent="0.25">
      <c r="A3338" s="2" t="s">
        <v>29</v>
      </c>
      <c r="B3338" s="2" t="s">
        <v>10188</v>
      </c>
      <c r="C3338" s="2" t="s">
        <v>10189</v>
      </c>
      <c r="D3338" s="2" t="s">
        <v>10187</v>
      </c>
      <c r="E3338" s="2" t="s">
        <v>156</v>
      </c>
      <c r="F3338" s="3">
        <v>42646</v>
      </c>
      <c r="G3338" s="2" t="str">
        <f>"9781469629551"</f>
        <v>9781469629551</v>
      </c>
      <c r="H3338" s="2" t="s">
        <v>14</v>
      </c>
      <c r="I3338" s="4">
        <v>43084.727777777778</v>
      </c>
      <c r="J3338" s="2" t="s">
        <v>10190</v>
      </c>
    </row>
    <row r="3339" spans="1:10" ht="135" x14ac:dyDescent="0.25">
      <c r="A3339" s="2" t="s">
        <v>29</v>
      </c>
      <c r="B3339" s="2">
        <v>306.09730000000002</v>
      </c>
      <c r="C3339" s="2" t="s">
        <v>11711</v>
      </c>
      <c r="D3339" s="2" t="s">
        <v>11710</v>
      </c>
      <c r="E3339" s="2" t="s">
        <v>50</v>
      </c>
      <c r="F3339" s="3">
        <v>42522</v>
      </c>
      <c r="G3339" s="2" t="str">
        <f>"9780803288836"</f>
        <v>9780803288836</v>
      </c>
      <c r="H3339" s="2" t="s">
        <v>14</v>
      </c>
      <c r="I3339" s="4">
        <v>42909.37222222222</v>
      </c>
      <c r="J3339" s="2" t="s">
        <v>11712</v>
      </c>
    </row>
    <row r="3340" spans="1:10" ht="135" x14ac:dyDescent="0.25">
      <c r="A3340" s="2" t="s">
        <v>29</v>
      </c>
      <c r="B3340" s="2" t="s">
        <v>5206</v>
      </c>
      <c r="C3340" s="2" t="s">
        <v>5207</v>
      </c>
      <c r="D3340" s="2" t="s">
        <v>5205</v>
      </c>
      <c r="E3340" s="2" t="s">
        <v>856</v>
      </c>
      <c r="F3340" s="3">
        <v>43101</v>
      </c>
      <c r="G3340" s="2" t="str">
        <f>"9780295742847"</f>
        <v>9780295742847</v>
      </c>
      <c r="H3340" s="2" t="s">
        <v>14</v>
      </c>
      <c r="I3340" s="4">
        <v>43607.953472222223</v>
      </c>
      <c r="J3340" s="2" t="s">
        <v>5208</v>
      </c>
    </row>
    <row r="3341" spans="1:10" ht="135" x14ac:dyDescent="0.25">
      <c r="A3341" s="2" t="s">
        <v>29</v>
      </c>
      <c r="B3341" s="2">
        <v>304.2</v>
      </c>
      <c r="C3341" s="2" t="s">
        <v>3411</v>
      </c>
      <c r="D3341" s="2" t="s">
        <v>3410</v>
      </c>
      <c r="E3341" s="2" t="s">
        <v>73</v>
      </c>
      <c r="F3341" s="3">
        <v>39814</v>
      </c>
      <c r="G3341" s="2" t="str">
        <f>"9780816668052"</f>
        <v>9780816668052</v>
      </c>
      <c r="H3341" s="2" t="s">
        <v>14</v>
      </c>
      <c r="I3341" s="4">
        <v>43784.431944444441</v>
      </c>
      <c r="J3341" s="2" t="s">
        <v>3412</v>
      </c>
    </row>
    <row r="3342" spans="1:10" ht="135" x14ac:dyDescent="0.25">
      <c r="A3342" s="2" t="s">
        <v>29</v>
      </c>
      <c r="B3342" s="2">
        <v>305.42009999999999</v>
      </c>
      <c r="C3342" s="2" t="s">
        <v>12047</v>
      </c>
      <c r="D3342" s="2" t="s">
        <v>12046</v>
      </c>
      <c r="E3342" s="2" t="s">
        <v>73</v>
      </c>
      <c r="F3342" s="3">
        <v>42815</v>
      </c>
      <c r="G3342" s="2" t="str">
        <f>"9781452953267"</f>
        <v>9781452953267</v>
      </c>
      <c r="H3342" s="2" t="s">
        <v>14</v>
      </c>
      <c r="I3342" s="4">
        <v>42858.722222222219</v>
      </c>
      <c r="J3342" s="2" t="s">
        <v>12048</v>
      </c>
    </row>
    <row r="3343" spans="1:10" ht="135" x14ac:dyDescent="0.25">
      <c r="A3343" s="2" t="s">
        <v>29</v>
      </c>
      <c r="B3343" s="2">
        <v>301</v>
      </c>
      <c r="C3343" s="2" t="s">
        <v>3940</v>
      </c>
      <c r="D3343" s="2" t="s">
        <v>3939</v>
      </c>
      <c r="E3343" s="2" t="s">
        <v>1869</v>
      </c>
      <c r="F3343" s="3">
        <v>41935</v>
      </c>
      <c r="G3343" s="2" t="str">
        <f>"9780759123830"</f>
        <v>9780759123830</v>
      </c>
      <c r="H3343" s="2" t="s">
        <v>14</v>
      </c>
      <c r="I3343" s="4">
        <v>43736.49722222222</v>
      </c>
      <c r="J3343" s="2" t="s">
        <v>3941</v>
      </c>
    </row>
    <row r="3344" spans="1:10" ht="135" x14ac:dyDescent="0.25">
      <c r="A3344" s="2" t="s">
        <v>29</v>
      </c>
      <c r="B3344" s="2">
        <v>301.096</v>
      </c>
      <c r="C3344" s="2" t="s">
        <v>7960</v>
      </c>
      <c r="D3344" s="2" t="s">
        <v>7959</v>
      </c>
      <c r="E3344" s="2" t="s">
        <v>212</v>
      </c>
      <c r="F3344" s="3">
        <v>42037</v>
      </c>
      <c r="G3344" s="2" t="str">
        <f>"9789956792924"</f>
        <v>9789956792924</v>
      </c>
      <c r="H3344" s="2" t="s">
        <v>14</v>
      </c>
      <c r="I3344" s="4">
        <v>43370.338888888888</v>
      </c>
      <c r="J3344" s="2" t="s">
        <v>7961</v>
      </c>
    </row>
    <row r="3345" spans="1:10" ht="135" x14ac:dyDescent="0.25">
      <c r="A3345" s="2" t="s">
        <v>29</v>
      </c>
      <c r="B3345" s="2">
        <v>306.3</v>
      </c>
      <c r="C3345" s="2" t="s">
        <v>12303</v>
      </c>
      <c r="D3345" s="2" t="s">
        <v>12302</v>
      </c>
      <c r="E3345" s="2" t="s">
        <v>526</v>
      </c>
      <c r="F3345" s="3">
        <v>40848</v>
      </c>
      <c r="G3345" s="2" t="str">
        <f>"9780292735354"</f>
        <v>9780292735354</v>
      </c>
      <c r="H3345" s="2" t="s">
        <v>14</v>
      </c>
      <c r="I3345" s="4">
        <v>42817.638888888891</v>
      </c>
      <c r="J3345" s="2" t="s">
        <v>12304</v>
      </c>
    </row>
    <row r="3346" spans="1:10" ht="135" x14ac:dyDescent="0.25">
      <c r="A3346" s="2" t="s">
        <v>29</v>
      </c>
      <c r="B3346" s="2">
        <v>305.23509173999997</v>
      </c>
      <c r="C3346" s="2" t="s">
        <v>9097</v>
      </c>
      <c r="D3346" s="2" t="s">
        <v>9096</v>
      </c>
      <c r="E3346" s="2" t="s">
        <v>846</v>
      </c>
      <c r="F3346" s="3">
        <v>42276</v>
      </c>
      <c r="G3346" s="2" t="str">
        <f>"9781442624276"</f>
        <v>9781442624276</v>
      </c>
      <c r="H3346" s="2" t="s">
        <v>14</v>
      </c>
      <c r="I3346" s="4">
        <v>43219.001388888886</v>
      </c>
      <c r="J3346" s="2" t="s">
        <v>9098</v>
      </c>
    </row>
    <row r="3347" spans="1:10" ht="135" x14ac:dyDescent="0.25">
      <c r="A3347" s="2" t="s">
        <v>29</v>
      </c>
      <c r="B3347" s="2">
        <v>306.36209729000001</v>
      </c>
      <c r="C3347" s="2" t="s">
        <v>5412</v>
      </c>
      <c r="D3347" s="2" t="s">
        <v>5411</v>
      </c>
      <c r="E3347" s="2" t="s">
        <v>130</v>
      </c>
      <c r="F3347" s="3">
        <v>42653</v>
      </c>
      <c r="G3347" s="2" t="str">
        <f>"9781683400134"</f>
        <v>9781683400134</v>
      </c>
      <c r="H3347" s="2" t="s">
        <v>14</v>
      </c>
      <c r="I3347" s="4">
        <v>43600.411805555559</v>
      </c>
      <c r="J3347" s="2" t="s">
        <v>5413</v>
      </c>
    </row>
    <row r="3348" spans="1:10" ht="135" x14ac:dyDescent="0.25">
      <c r="A3348" s="2" t="s">
        <v>29</v>
      </c>
      <c r="B3348" s="2">
        <v>305.40976699999999</v>
      </c>
      <c r="C3348" s="2" t="s">
        <v>638</v>
      </c>
      <c r="D3348" s="2" t="s">
        <v>637</v>
      </c>
      <c r="E3348" s="2" t="s">
        <v>322</v>
      </c>
      <c r="F3348" s="3">
        <v>43252</v>
      </c>
      <c r="G3348" s="2" t="str">
        <f>"9780820353326"</f>
        <v>9780820353326</v>
      </c>
      <c r="H3348" s="2" t="s">
        <v>14</v>
      </c>
      <c r="I3348" s="4">
        <v>44005.511805555558</v>
      </c>
      <c r="J3348" s="2" t="s">
        <v>639</v>
      </c>
    </row>
    <row r="3349" spans="1:10" ht="135" x14ac:dyDescent="0.25">
      <c r="A3349" s="2" t="s">
        <v>29</v>
      </c>
      <c r="B3349" s="2" t="s">
        <v>12209</v>
      </c>
      <c r="C3349" s="2" t="s">
        <v>12210</v>
      </c>
      <c r="D3349" s="2" t="s">
        <v>12208</v>
      </c>
      <c r="E3349" s="2" t="s">
        <v>216</v>
      </c>
      <c r="F3349" s="3">
        <v>42278</v>
      </c>
      <c r="G3349" s="2" t="str">
        <f>"9781438457765"</f>
        <v>9781438457765</v>
      </c>
      <c r="H3349" s="2" t="s">
        <v>14</v>
      </c>
      <c r="I3349" s="4">
        <v>42834.724999999999</v>
      </c>
      <c r="J3349" s="2" t="s">
        <v>12211</v>
      </c>
    </row>
    <row r="3350" spans="1:10" ht="135" x14ac:dyDescent="0.25">
      <c r="A3350" s="2" t="s">
        <v>29</v>
      </c>
      <c r="D3350" s="2" t="s">
        <v>2328</v>
      </c>
      <c r="E3350" s="2" t="s">
        <v>46</v>
      </c>
      <c r="F3350" s="3">
        <v>43862</v>
      </c>
      <c r="G3350" s="2" t="str">
        <f>"9781496219411"</f>
        <v>9781496219411</v>
      </c>
      <c r="H3350" s="2" t="s">
        <v>14</v>
      </c>
      <c r="I3350" s="4">
        <v>43893.501388888886</v>
      </c>
      <c r="J3350" s="2" t="s">
        <v>2329</v>
      </c>
    </row>
    <row r="3351" spans="1:10" ht="135" x14ac:dyDescent="0.25">
      <c r="A3351" s="2" t="s">
        <v>29</v>
      </c>
      <c r="B3351" s="2">
        <v>394.12094609030999</v>
      </c>
      <c r="C3351" s="2" t="s">
        <v>7995</v>
      </c>
      <c r="D3351" s="2" t="s">
        <v>7994</v>
      </c>
      <c r="E3351" s="2" t="s">
        <v>50</v>
      </c>
      <c r="F3351" s="3">
        <v>42767</v>
      </c>
      <c r="G3351" s="2" t="str">
        <f>"9780803296619"</f>
        <v>9780803296619</v>
      </c>
      <c r="H3351" s="2" t="s">
        <v>14</v>
      </c>
      <c r="I3351" s="4">
        <v>43367.545138888891</v>
      </c>
      <c r="J3351" s="2" t="s">
        <v>7996</v>
      </c>
    </row>
    <row r="3352" spans="1:10" ht="135" x14ac:dyDescent="0.25">
      <c r="A3352" s="2" t="s">
        <v>29</v>
      </c>
      <c r="B3352" s="2">
        <v>305.42095499999999</v>
      </c>
      <c r="C3352" s="2" t="s">
        <v>857</v>
      </c>
      <c r="D3352" s="2" t="s">
        <v>855</v>
      </c>
      <c r="E3352" s="2" t="s">
        <v>856</v>
      </c>
      <c r="F3352" s="3">
        <v>43804</v>
      </c>
      <c r="G3352" s="2" t="str">
        <f>"9780295746319"</f>
        <v>9780295746319</v>
      </c>
      <c r="H3352" s="2" t="s">
        <v>14</v>
      </c>
      <c r="I3352" s="4">
        <v>43979.611805555556</v>
      </c>
      <c r="J3352" s="2" t="s">
        <v>858</v>
      </c>
    </row>
    <row r="3353" spans="1:10" ht="135" x14ac:dyDescent="0.25">
      <c r="A3353" s="2" t="s">
        <v>29</v>
      </c>
      <c r="B3353" s="2">
        <v>306.70819999999998</v>
      </c>
      <c r="C3353" s="2" t="s">
        <v>10496</v>
      </c>
      <c r="D3353" s="2" t="s">
        <v>10495</v>
      </c>
      <c r="E3353" s="2" t="s">
        <v>156</v>
      </c>
      <c r="F3353" s="3">
        <v>42249</v>
      </c>
      <c r="G3353" s="2" t="str">
        <f>"9781469625195"</f>
        <v>9781469625195</v>
      </c>
      <c r="H3353" s="2" t="s">
        <v>14</v>
      </c>
      <c r="I3353" s="4">
        <v>43054.597916666666</v>
      </c>
      <c r="J3353" s="2" t="s">
        <v>10497</v>
      </c>
    </row>
    <row r="3354" spans="1:10" ht="135" x14ac:dyDescent="0.25">
      <c r="A3354" s="2" t="s">
        <v>29</v>
      </c>
      <c r="B3354" s="2">
        <v>305.42</v>
      </c>
      <c r="C3354" s="2" t="s">
        <v>1082</v>
      </c>
      <c r="D3354" s="2" t="s">
        <v>8322</v>
      </c>
      <c r="E3354" s="2" t="s">
        <v>37</v>
      </c>
      <c r="F3354" s="3">
        <v>42930</v>
      </c>
      <c r="G3354" s="2" t="str">
        <f>"9783319472591"</f>
        <v>9783319472591</v>
      </c>
      <c r="H3354" s="2" t="s">
        <v>14</v>
      </c>
      <c r="I3354" s="4">
        <v>43321.632638888892</v>
      </c>
      <c r="J3354" s="2" t="s">
        <v>8323</v>
      </c>
    </row>
    <row r="3355" spans="1:10" ht="135" x14ac:dyDescent="0.25">
      <c r="A3355" s="2" t="s">
        <v>29</v>
      </c>
      <c r="B3355" s="2">
        <v>305.42097669999998</v>
      </c>
      <c r="C3355" s="2" t="s">
        <v>6732</v>
      </c>
      <c r="D3355" s="2" t="s">
        <v>6731</v>
      </c>
      <c r="E3355" s="2" t="s">
        <v>73</v>
      </c>
      <c r="F3355" s="3">
        <v>42185</v>
      </c>
      <c r="G3355" s="2" t="str">
        <f>"9781452944265"</f>
        <v>9781452944265</v>
      </c>
      <c r="H3355" s="2" t="s">
        <v>14</v>
      </c>
      <c r="I3355" s="4">
        <v>43490.612500000003</v>
      </c>
      <c r="J3355" s="2" t="s">
        <v>6733</v>
      </c>
    </row>
    <row r="3356" spans="1:10" ht="135" x14ac:dyDescent="0.25">
      <c r="A3356" s="2" t="s">
        <v>29</v>
      </c>
      <c r="D3356" s="2" t="s">
        <v>2080</v>
      </c>
      <c r="E3356" s="2" t="s">
        <v>54</v>
      </c>
      <c r="F3356" s="3">
        <v>43893</v>
      </c>
      <c r="G3356" s="2" t="str">
        <f>"9781503610989"</f>
        <v>9781503610989</v>
      </c>
      <c r="H3356" s="2" t="s">
        <v>14</v>
      </c>
      <c r="I3356" s="4">
        <v>43915.34652777778</v>
      </c>
      <c r="J3356" s="2" t="s">
        <v>2081</v>
      </c>
    </row>
    <row r="3357" spans="1:10" ht="135" x14ac:dyDescent="0.25">
      <c r="A3357" s="2" t="s">
        <v>29</v>
      </c>
      <c r="B3357" s="2" t="s">
        <v>10406</v>
      </c>
      <c r="C3357" s="2" t="s">
        <v>10407</v>
      </c>
      <c r="D3357" s="2" t="s">
        <v>10405</v>
      </c>
      <c r="E3357" s="2" t="s">
        <v>846</v>
      </c>
      <c r="F3357" s="3">
        <v>41736</v>
      </c>
      <c r="G3357" s="2" t="str">
        <f>"9781442685406"</f>
        <v>9781442685406</v>
      </c>
      <c r="H3357" s="2" t="s">
        <v>14</v>
      </c>
      <c r="I3357" s="4">
        <v>43059.804166666669</v>
      </c>
      <c r="J3357" s="2" t="s">
        <v>10408</v>
      </c>
    </row>
    <row r="3358" spans="1:10" ht="135" x14ac:dyDescent="0.25">
      <c r="A3358" s="2" t="s">
        <v>29</v>
      </c>
      <c r="B3358" s="2">
        <v>305.31097999999997</v>
      </c>
      <c r="C3358" s="2" t="s">
        <v>12629</v>
      </c>
      <c r="D3358" s="2" t="s">
        <v>12628</v>
      </c>
      <c r="E3358" s="2" t="s">
        <v>526</v>
      </c>
      <c r="F3358" s="3">
        <v>42458</v>
      </c>
      <c r="G3358" s="2" t="str">
        <f>"9781477308783"</f>
        <v>9781477308783</v>
      </c>
      <c r="H3358" s="2" t="s">
        <v>14</v>
      </c>
      <c r="I3358" s="4">
        <v>42788.606944444444</v>
      </c>
      <c r="J3358" s="2" t="s">
        <v>12630</v>
      </c>
    </row>
    <row r="3359" spans="1:10" ht="135" x14ac:dyDescent="0.25">
      <c r="A3359" s="2" t="s">
        <v>29</v>
      </c>
      <c r="B3359" s="2" t="s">
        <v>11930</v>
      </c>
      <c r="C3359" s="2" t="s">
        <v>11931</v>
      </c>
      <c r="D3359" s="2" t="s">
        <v>11929</v>
      </c>
      <c r="E3359" s="2" t="s">
        <v>216</v>
      </c>
      <c r="F3359" s="3">
        <v>42248</v>
      </c>
      <c r="G3359" s="2" t="str">
        <f>"9781438459028"</f>
        <v>9781438459028</v>
      </c>
      <c r="H3359" s="2" t="s">
        <v>14</v>
      </c>
      <c r="I3359" s="4">
        <v>42871.40902777778</v>
      </c>
      <c r="J3359" s="2" t="s">
        <v>11932</v>
      </c>
    </row>
    <row r="3360" spans="1:10" ht="150" x14ac:dyDescent="0.25">
      <c r="A3360" s="2" t="s">
        <v>29</v>
      </c>
      <c r="B3360" s="2" t="s">
        <v>4422</v>
      </c>
      <c r="C3360" s="2" t="s">
        <v>4423</v>
      </c>
      <c r="D3360" s="2" t="s">
        <v>4421</v>
      </c>
      <c r="E3360" s="2" t="s">
        <v>216</v>
      </c>
      <c r="F3360" s="3">
        <v>43040</v>
      </c>
      <c r="G3360" s="2" t="str">
        <f>"9781438467122"</f>
        <v>9781438467122</v>
      </c>
      <c r="H3360" s="2" t="s">
        <v>14</v>
      </c>
      <c r="I3360" s="4">
        <v>43670.647222222222</v>
      </c>
      <c r="J3360" s="2" t="s">
        <v>4424</v>
      </c>
    </row>
    <row r="3361" spans="1:10" ht="135" x14ac:dyDescent="0.25">
      <c r="A3361" s="2" t="s">
        <v>29</v>
      </c>
      <c r="B3361" s="2">
        <v>305.8009753</v>
      </c>
      <c r="C3361" s="2" t="s">
        <v>3705</v>
      </c>
      <c r="D3361" s="2" t="s">
        <v>3704</v>
      </c>
      <c r="E3361" s="2" t="s">
        <v>156</v>
      </c>
      <c r="F3361" s="3">
        <v>43794</v>
      </c>
      <c r="G3361" s="2" t="str">
        <f>"9781469654034"</f>
        <v>9781469654034</v>
      </c>
      <c r="H3361" s="2" t="s">
        <v>14</v>
      </c>
      <c r="I3361" s="4">
        <v>43763.590277777781</v>
      </c>
      <c r="J3361" s="2" t="s">
        <v>3706</v>
      </c>
    </row>
    <row r="3362" spans="1:10" ht="135" x14ac:dyDescent="0.25">
      <c r="A3362" s="2" t="s">
        <v>29</v>
      </c>
      <c r="B3362" s="2">
        <v>306.76809730000002</v>
      </c>
      <c r="C3362" s="2" t="s">
        <v>9235</v>
      </c>
      <c r="D3362" s="2" t="s">
        <v>9234</v>
      </c>
      <c r="E3362" s="2" t="s">
        <v>73</v>
      </c>
      <c r="F3362" s="3">
        <v>43074</v>
      </c>
      <c r="G3362" s="2" t="str">
        <f>"9781452955865"</f>
        <v>9781452955865</v>
      </c>
      <c r="H3362" s="2" t="s">
        <v>14</v>
      </c>
      <c r="I3362" s="4">
        <v>43196.82708333333</v>
      </c>
      <c r="J3362" s="2" t="s">
        <v>9236</v>
      </c>
    </row>
    <row r="3363" spans="1:10" ht="135" x14ac:dyDescent="0.25">
      <c r="A3363" s="2" t="s">
        <v>29</v>
      </c>
      <c r="B3363" s="2" t="s">
        <v>7005</v>
      </c>
      <c r="C3363" s="2" t="s">
        <v>7006</v>
      </c>
      <c r="D3363" s="2" t="s">
        <v>7004</v>
      </c>
      <c r="E3363" s="2" t="s">
        <v>216</v>
      </c>
      <c r="F3363" s="3">
        <v>43344</v>
      </c>
      <c r="G3363" s="2" t="str">
        <f>"9781438470955"</f>
        <v>9781438470955</v>
      </c>
      <c r="H3363" s="2" t="s">
        <v>14</v>
      </c>
      <c r="I3363" s="4">
        <v>43465.665972222225</v>
      </c>
      <c r="J3363" s="2" t="s">
        <v>7007</v>
      </c>
    </row>
    <row r="3364" spans="1:10" ht="135" x14ac:dyDescent="0.25">
      <c r="A3364" s="2" t="s">
        <v>29</v>
      </c>
      <c r="B3364" s="2" t="s">
        <v>3660</v>
      </c>
      <c r="C3364" s="2" t="s">
        <v>3661</v>
      </c>
      <c r="D3364" s="2" t="s">
        <v>3659</v>
      </c>
      <c r="E3364" s="2" t="s">
        <v>54</v>
      </c>
      <c r="F3364" s="3">
        <v>42760</v>
      </c>
      <c r="G3364" s="2" t="str">
        <f>"9781503601079"</f>
        <v>9781503601079</v>
      </c>
      <c r="H3364" s="2" t="s">
        <v>14</v>
      </c>
      <c r="I3364" s="4">
        <v>43768.488888888889</v>
      </c>
      <c r="J3364" s="2" t="s">
        <v>3662</v>
      </c>
    </row>
    <row r="3365" spans="1:10" ht="165" x14ac:dyDescent="0.25">
      <c r="A3365" s="2" t="s">
        <v>29</v>
      </c>
      <c r="B3365" s="2">
        <v>306.10951999999901</v>
      </c>
      <c r="C3365" s="2" t="s">
        <v>7152</v>
      </c>
      <c r="D3365" s="2" t="s">
        <v>7151</v>
      </c>
      <c r="E3365" s="2" t="s">
        <v>221</v>
      </c>
      <c r="F3365" s="3">
        <v>42907</v>
      </c>
      <c r="G3365" s="2" t="str">
        <f>"9789888390441"</f>
        <v>9789888390441</v>
      </c>
      <c r="H3365" s="2" t="s">
        <v>14</v>
      </c>
      <c r="I3365" s="4">
        <v>43439.692361111112</v>
      </c>
      <c r="J3365" s="2" t="s">
        <v>7153</v>
      </c>
    </row>
    <row r="3366" spans="1:10" ht="135" x14ac:dyDescent="0.25">
      <c r="A3366" s="2" t="s">
        <v>29</v>
      </c>
      <c r="B3366" s="2">
        <v>307.72096209031997</v>
      </c>
      <c r="C3366" s="2" t="s">
        <v>12099</v>
      </c>
      <c r="D3366" s="2" t="s">
        <v>12098</v>
      </c>
      <c r="E3366" s="2" t="s">
        <v>180</v>
      </c>
      <c r="F3366" s="3">
        <v>42563</v>
      </c>
      <c r="G3366" s="2" t="str">
        <f>"9781479822362"</f>
        <v>9781479822362</v>
      </c>
      <c r="H3366" s="2" t="s">
        <v>14</v>
      </c>
      <c r="I3366" s="4">
        <v>42851.337500000001</v>
      </c>
      <c r="J3366" s="2" t="s">
        <v>12100</v>
      </c>
    </row>
    <row r="3367" spans="1:10" ht="135" x14ac:dyDescent="0.25">
      <c r="A3367" s="2" t="s">
        <v>29</v>
      </c>
      <c r="B3367" s="2">
        <v>307.72096209031997</v>
      </c>
      <c r="C3367" s="2" t="s">
        <v>2008</v>
      </c>
      <c r="D3367" s="2" t="s">
        <v>2007</v>
      </c>
      <c r="E3367" s="2" t="s">
        <v>180</v>
      </c>
      <c r="F3367" s="3">
        <v>42563</v>
      </c>
      <c r="G3367" s="2" t="str">
        <f>"9781479809721"</f>
        <v>9781479809721</v>
      </c>
      <c r="H3367" s="2" t="s">
        <v>14</v>
      </c>
      <c r="I3367" s="4">
        <v>43917.853472222225</v>
      </c>
      <c r="J3367" s="2" t="s">
        <v>2009</v>
      </c>
    </row>
    <row r="3368" spans="1:10" ht="135" x14ac:dyDescent="0.25">
      <c r="A3368" s="2" t="s">
        <v>29</v>
      </c>
      <c r="B3368" s="2">
        <v>306.09780000000001</v>
      </c>
      <c r="C3368" s="2" t="s">
        <v>11426</v>
      </c>
      <c r="D3368" s="2" t="s">
        <v>11424</v>
      </c>
      <c r="E3368" s="2" t="s">
        <v>11425</v>
      </c>
      <c r="F3368" s="3">
        <v>42308</v>
      </c>
      <c r="G3368" s="2" t="str">
        <f>"9781607814566"</f>
        <v>9781607814566</v>
      </c>
      <c r="H3368" s="2" t="s">
        <v>14</v>
      </c>
      <c r="I3368" s="4">
        <v>42972.469444444447</v>
      </c>
      <c r="J3368" s="2" t="s">
        <v>11427</v>
      </c>
    </row>
    <row r="3369" spans="1:10" ht="165" x14ac:dyDescent="0.25">
      <c r="A3369" s="2" t="s">
        <v>29</v>
      </c>
      <c r="B3369" s="2">
        <v>307.14097299999997</v>
      </c>
      <c r="C3369" s="2" t="s">
        <v>9813</v>
      </c>
      <c r="D3369" s="2" t="s">
        <v>9812</v>
      </c>
      <c r="E3369" s="2" t="s">
        <v>4660</v>
      </c>
      <c r="F3369" s="3">
        <v>42531</v>
      </c>
      <c r="G3369" s="2" t="str">
        <f>"9780813167367"</f>
        <v>9780813167367</v>
      </c>
      <c r="H3369" s="2" t="s">
        <v>14</v>
      </c>
      <c r="I3369" s="4">
        <v>43128.481944444444</v>
      </c>
      <c r="J3369" s="2" t="s">
        <v>9814</v>
      </c>
    </row>
    <row r="3370" spans="1:10" ht="135" x14ac:dyDescent="0.25">
      <c r="A3370" s="2" t="s">
        <v>29</v>
      </c>
      <c r="B3370" s="2" t="s">
        <v>726</v>
      </c>
      <c r="C3370" s="2" t="s">
        <v>12105</v>
      </c>
      <c r="D3370" s="2" t="s">
        <v>12104</v>
      </c>
      <c r="E3370" s="2" t="s">
        <v>73</v>
      </c>
      <c r="F3370" s="3">
        <v>42451</v>
      </c>
      <c r="G3370" s="2" t="str">
        <f>"9781452951607"</f>
        <v>9781452951607</v>
      </c>
      <c r="H3370" s="2" t="s">
        <v>14</v>
      </c>
      <c r="I3370" s="4">
        <v>42851.07708333333</v>
      </c>
      <c r="J3370" s="2" t="s">
        <v>12106</v>
      </c>
    </row>
    <row r="3371" spans="1:10" ht="135" x14ac:dyDescent="0.25">
      <c r="A3371" s="2" t="s">
        <v>29</v>
      </c>
      <c r="B3371" s="2">
        <v>305.800973</v>
      </c>
      <c r="C3371" s="2" t="s">
        <v>4065</v>
      </c>
      <c r="D3371" s="2" t="s">
        <v>4064</v>
      </c>
      <c r="E3371" s="2" t="s">
        <v>73</v>
      </c>
      <c r="F3371" s="3">
        <v>43683</v>
      </c>
      <c r="G3371" s="2" t="str">
        <f>"9781452962443"</f>
        <v>9781452962443</v>
      </c>
      <c r="H3371" s="2" t="s">
        <v>14</v>
      </c>
      <c r="I3371" s="4">
        <v>43718.959027777775</v>
      </c>
      <c r="J3371" s="2" t="s">
        <v>4066</v>
      </c>
    </row>
    <row r="3372" spans="1:10" ht="135" x14ac:dyDescent="0.25">
      <c r="A3372" s="2" t="s">
        <v>29</v>
      </c>
      <c r="B3372" s="2">
        <v>398.20948977</v>
      </c>
      <c r="C3372" s="2" t="s">
        <v>4263</v>
      </c>
      <c r="D3372" s="2" t="s">
        <v>4262</v>
      </c>
      <c r="E3372" s="2" t="s">
        <v>73</v>
      </c>
      <c r="F3372" s="3">
        <v>43571</v>
      </c>
      <c r="G3372" s="2" t="str">
        <f>"9781452959566"</f>
        <v>9781452959566</v>
      </c>
      <c r="H3372" s="2" t="s">
        <v>14</v>
      </c>
      <c r="I3372" s="4">
        <v>43688.785416666666</v>
      </c>
      <c r="J3372" s="2" t="s">
        <v>4264</v>
      </c>
    </row>
    <row r="3373" spans="1:10" ht="165" x14ac:dyDescent="0.25">
      <c r="A3373" s="2" t="s">
        <v>29</v>
      </c>
      <c r="B3373" s="2" t="s">
        <v>4384</v>
      </c>
      <c r="C3373" s="2" t="s">
        <v>4385</v>
      </c>
      <c r="D3373" s="2" t="s">
        <v>4383</v>
      </c>
      <c r="E3373" s="2" t="s">
        <v>156</v>
      </c>
      <c r="F3373" s="3">
        <v>43612</v>
      </c>
      <c r="G3373" s="2" t="str">
        <f>"9781469651262"</f>
        <v>9781469651262</v>
      </c>
      <c r="H3373" s="2" t="s">
        <v>14</v>
      </c>
      <c r="I3373" s="4">
        <v>43675.461111111108</v>
      </c>
      <c r="J3373" s="2" t="s">
        <v>4386</v>
      </c>
    </row>
    <row r="3374" spans="1:10" ht="135" x14ac:dyDescent="0.25">
      <c r="A3374" s="2" t="s">
        <v>29</v>
      </c>
      <c r="B3374" s="2">
        <v>365.97309034</v>
      </c>
      <c r="C3374" s="2" t="s">
        <v>30</v>
      </c>
      <c r="D3374" s="2" t="s">
        <v>27</v>
      </c>
      <c r="E3374" s="2" t="s">
        <v>28</v>
      </c>
      <c r="F3374" s="3">
        <v>43067</v>
      </c>
      <c r="G3374" s="2" t="str">
        <f>"9780813940564"</f>
        <v>9780813940564</v>
      </c>
      <c r="H3374" s="2" t="s">
        <v>14</v>
      </c>
      <c r="I3374" s="4">
        <v>44075.595833333333</v>
      </c>
      <c r="J3374" s="2" t="s">
        <v>31</v>
      </c>
    </row>
    <row r="3375" spans="1:10" ht="135" x14ac:dyDescent="0.25">
      <c r="A3375" s="2" t="s">
        <v>29</v>
      </c>
      <c r="B3375" s="2">
        <v>364.66094199999998</v>
      </c>
      <c r="C3375" s="2" t="s">
        <v>1130</v>
      </c>
      <c r="D3375" s="2" t="s">
        <v>1128</v>
      </c>
      <c r="E3375" s="2" t="s">
        <v>1129</v>
      </c>
      <c r="F3375" s="3">
        <v>41837</v>
      </c>
      <c r="G3375" s="2" t="str">
        <f>"9781782042983"</f>
        <v>9781782042983</v>
      </c>
      <c r="H3375" s="2" t="s">
        <v>14</v>
      </c>
      <c r="I3375" s="4">
        <v>43961.369444444441</v>
      </c>
      <c r="J3375" s="2" t="s">
        <v>1131</v>
      </c>
    </row>
    <row r="3376" spans="1:10" ht="135" x14ac:dyDescent="0.25">
      <c r="A3376" s="2" t="s">
        <v>29</v>
      </c>
      <c r="B3376" s="2">
        <v>305.31095099999902</v>
      </c>
      <c r="C3376" s="2" t="s">
        <v>9746</v>
      </c>
      <c r="D3376" s="2" t="s">
        <v>9745</v>
      </c>
      <c r="E3376" s="2" t="s">
        <v>221</v>
      </c>
      <c r="F3376" s="3">
        <v>42529</v>
      </c>
      <c r="G3376" s="2" t="str">
        <f>"9789888313716"</f>
        <v>9789888313716</v>
      </c>
      <c r="H3376" s="2" t="s">
        <v>14</v>
      </c>
      <c r="I3376" s="4">
        <v>43132.981944444444</v>
      </c>
      <c r="J3376" s="2" t="s">
        <v>9747</v>
      </c>
    </row>
    <row r="3377" spans="1:10" ht="135" x14ac:dyDescent="0.25">
      <c r="A3377" s="2" t="s">
        <v>29</v>
      </c>
      <c r="B3377" s="2">
        <v>305.23095810000001</v>
      </c>
      <c r="C3377" s="2" t="s">
        <v>11721</v>
      </c>
      <c r="D3377" s="2" t="s">
        <v>11720</v>
      </c>
      <c r="E3377" s="2" t="s">
        <v>526</v>
      </c>
      <c r="F3377" s="3">
        <v>41958</v>
      </c>
      <c r="G3377" s="2" t="str">
        <f>"9780292759329"</f>
        <v>9780292759329</v>
      </c>
      <c r="H3377" s="2" t="s">
        <v>14</v>
      </c>
      <c r="I3377" s="4">
        <v>42908.527777777781</v>
      </c>
      <c r="J3377" s="2" t="s">
        <v>11722</v>
      </c>
    </row>
    <row r="3378" spans="1:10" ht="165" x14ac:dyDescent="0.25">
      <c r="A3378" s="2" t="s">
        <v>29</v>
      </c>
      <c r="B3378" s="2">
        <v>303.48259051000002</v>
      </c>
      <c r="C3378" s="2" t="s">
        <v>6025</v>
      </c>
      <c r="D3378" s="2" t="s">
        <v>6024</v>
      </c>
      <c r="E3378" s="2" t="s">
        <v>856</v>
      </c>
      <c r="F3378" s="3">
        <v>42705</v>
      </c>
      <c r="G3378" s="2" t="str">
        <f>"9780295999319"</f>
        <v>9780295999319</v>
      </c>
      <c r="H3378" s="2" t="s">
        <v>14</v>
      </c>
      <c r="I3378" s="4">
        <v>43549.477777777778</v>
      </c>
      <c r="J3378" s="2" t="s">
        <v>6026</v>
      </c>
    </row>
    <row r="3379" spans="1:10" ht="135" x14ac:dyDescent="0.25">
      <c r="A3379" s="2" t="s">
        <v>29</v>
      </c>
      <c r="B3379" s="2">
        <v>303.60986100000002</v>
      </c>
      <c r="C3379" s="2" t="s">
        <v>12489</v>
      </c>
      <c r="D3379" s="2" t="s">
        <v>12488</v>
      </c>
      <c r="E3379" s="2" t="s">
        <v>54</v>
      </c>
      <c r="F3379" s="3">
        <v>42375</v>
      </c>
      <c r="G3379" s="2" t="str">
        <f>"9780804796903"</f>
        <v>9780804796903</v>
      </c>
      <c r="H3379" s="2" t="s">
        <v>14</v>
      </c>
      <c r="I3379" s="4">
        <v>42801.792361111111</v>
      </c>
      <c r="J3379" s="2" t="s">
        <v>12490</v>
      </c>
    </row>
    <row r="3380" spans="1:10" ht="150" x14ac:dyDescent="0.25">
      <c r="A3380" s="2" t="s">
        <v>29</v>
      </c>
      <c r="B3380" s="2">
        <v>307.12160974461</v>
      </c>
      <c r="C3380" s="2" t="s">
        <v>4692</v>
      </c>
      <c r="D3380" s="2" t="s">
        <v>4691</v>
      </c>
      <c r="E3380" s="2" t="s">
        <v>156</v>
      </c>
      <c r="F3380" s="3">
        <v>43206</v>
      </c>
      <c r="G3380" s="2" t="str">
        <f>"9781469638751"</f>
        <v>9781469638751</v>
      </c>
      <c r="H3380" s="2" t="s">
        <v>14</v>
      </c>
      <c r="I3380" s="4">
        <v>43636.976388888892</v>
      </c>
      <c r="J3380" s="2" t="s">
        <v>4693</v>
      </c>
    </row>
    <row r="3381" spans="1:10" ht="135" x14ac:dyDescent="0.25">
      <c r="A3381" s="2" t="s">
        <v>29</v>
      </c>
      <c r="B3381" s="2" t="s">
        <v>7319</v>
      </c>
      <c r="C3381" s="2" t="s">
        <v>7320</v>
      </c>
      <c r="D3381" s="2" t="s">
        <v>7318</v>
      </c>
      <c r="E3381" s="2" t="s">
        <v>73</v>
      </c>
      <c r="F3381" s="3">
        <v>42231</v>
      </c>
      <c r="G3381" s="2" t="str">
        <f>"9781452945125"</f>
        <v>9781452945125</v>
      </c>
      <c r="H3381" s="2" t="s">
        <v>14</v>
      </c>
      <c r="I3381" s="4">
        <v>43425.508333333331</v>
      </c>
      <c r="J3381" s="2" t="s">
        <v>7321</v>
      </c>
    </row>
    <row r="3382" spans="1:10" ht="135" x14ac:dyDescent="0.25">
      <c r="A3382" s="2" t="s">
        <v>29</v>
      </c>
      <c r="B3382" s="2">
        <v>362.70972999999998</v>
      </c>
      <c r="C3382" s="2" t="s">
        <v>7762</v>
      </c>
      <c r="D3382" s="2" t="s">
        <v>7761</v>
      </c>
      <c r="E3382" s="2" t="s">
        <v>328</v>
      </c>
      <c r="F3382" s="3">
        <v>41604</v>
      </c>
      <c r="G3382" s="2" t="str">
        <f>"9780739178997"</f>
        <v>9780739178997</v>
      </c>
      <c r="H3382" s="2" t="s">
        <v>14</v>
      </c>
      <c r="I3382" s="4">
        <v>43391.636111111111</v>
      </c>
      <c r="J3382" s="2" t="s">
        <v>7763</v>
      </c>
    </row>
    <row r="3383" spans="1:10" ht="135" x14ac:dyDescent="0.25">
      <c r="A3383" s="2" t="s">
        <v>29</v>
      </c>
      <c r="B3383" s="2" t="s">
        <v>12436</v>
      </c>
      <c r="C3383" s="2" t="s">
        <v>12437</v>
      </c>
      <c r="D3383" s="2" t="s">
        <v>12435</v>
      </c>
      <c r="E3383" s="2" t="s">
        <v>1550</v>
      </c>
      <c r="F3383" s="3">
        <v>41974</v>
      </c>
      <c r="G3383" s="2" t="str">
        <f>"9781482240405"</f>
        <v>9781482240405</v>
      </c>
      <c r="H3383" s="2" t="s">
        <v>14</v>
      </c>
      <c r="I3383" s="4">
        <v>42807.043055555558</v>
      </c>
      <c r="J3383" s="2" t="s">
        <v>12438</v>
      </c>
    </row>
    <row r="3384" spans="1:10" ht="135" x14ac:dyDescent="0.25">
      <c r="A3384" s="2" t="s">
        <v>29</v>
      </c>
      <c r="B3384" s="2" t="s">
        <v>10008</v>
      </c>
      <c r="C3384" s="2" t="s">
        <v>10009</v>
      </c>
      <c r="D3384" s="2" t="s">
        <v>10007</v>
      </c>
      <c r="E3384" s="2" t="s">
        <v>89</v>
      </c>
      <c r="F3384" s="3">
        <v>42491</v>
      </c>
      <c r="G3384" s="2" t="str">
        <f>"9781785331541"</f>
        <v>9781785331541</v>
      </c>
      <c r="H3384" s="2" t="s">
        <v>14</v>
      </c>
      <c r="I3384" s="4">
        <v>43112.458333333336</v>
      </c>
      <c r="J3384" s="2" t="s">
        <v>10010</v>
      </c>
    </row>
    <row r="3385" spans="1:10" ht="165" x14ac:dyDescent="0.25">
      <c r="A3385" s="2" t="s">
        <v>29</v>
      </c>
      <c r="B3385" s="2">
        <v>307.76</v>
      </c>
      <c r="C3385" s="2" t="s">
        <v>5817</v>
      </c>
      <c r="D3385" s="2" t="s">
        <v>5816</v>
      </c>
      <c r="E3385" s="2" t="s">
        <v>216</v>
      </c>
      <c r="F3385" s="3">
        <v>43525</v>
      </c>
      <c r="G3385" s="2" t="str">
        <f>"9781438472782"</f>
        <v>9781438472782</v>
      </c>
      <c r="H3385" s="2" t="s">
        <v>14</v>
      </c>
      <c r="I3385" s="4">
        <v>43567.864583333336</v>
      </c>
      <c r="J3385" s="2" t="s">
        <v>5818</v>
      </c>
    </row>
    <row r="3386" spans="1:10" ht="135" x14ac:dyDescent="0.25">
      <c r="A3386" s="2" t="s">
        <v>29</v>
      </c>
      <c r="B3386" s="2">
        <v>361.70956919999998</v>
      </c>
      <c r="C3386" s="2" t="s">
        <v>11708</v>
      </c>
      <c r="D3386" s="2" t="s">
        <v>11707</v>
      </c>
      <c r="E3386" s="2" t="s">
        <v>6704</v>
      </c>
      <c r="F3386" s="3">
        <v>41746</v>
      </c>
      <c r="G3386" s="2" t="str">
        <f>"9780801470332"</f>
        <v>9780801470332</v>
      </c>
      <c r="H3386" s="2" t="s">
        <v>14</v>
      </c>
      <c r="I3386" s="4">
        <v>42909.586111111108</v>
      </c>
      <c r="J3386" s="2" t="s">
        <v>11709</v>
      </c>
    </row>
    <row r="3387" spans="1:10" ht="225" x14ac:dyDescent="0.25">
      <c r="A3387" s="2" t="s">
        <v>29</v>
      </c>
      <c r="B3387" s="2" t="s">
        <v>5008</v>
      </c>
      <c r="C3387" s="2" t="s">
        <v>5009</v>
      </c>
      <c r="D3387" s="2" t="s">
        <v>5007</v>
      </c>
      <c r="E3387" s="2" t="s">
        <v>260</v>
      </c>
      <c r="F3387" s="3">
        <v>43210</v>
      </c>
      <c r="G3387" s="2" t="str">
        <f>"9781439915714"</f>
        <v>9781439915714</v>
      </c>
      <c r="H3387" s="2" t="s">
        <v>14</v>
      </c>
      <c r="I3387" s="4">
        <v>43612.879166666666</v>
      </c>
      <c r="J3387" s="2" t="s">
        <v>5010</v>
      </c>
    </row>
    <row r="3388" spans="1:10" ht="135" x14ac:dyDescent="0.25">
      <c r="A3388" s="2" t="s">
        <v>29</v>
      </c>
      <c r="B3388" s="2">
        <v>306.36209729199999</v>
      </c>
      <c r="C3388" s="2" t="s">
        <v>11661</v>
      </c>
      <c r="D3388" s="2" t="s">
        <v>11660</v>
      </c>
      <c r="E3388" s="2" t="s">
        <v>4010</v>
      </c>
      <c r="F3388" s="3">
        <v>42906</v>
      </c>
      <c r="G3388" s="2" t="str">
        <f>"9780812294057"</f>
        <v>9780812294057</v>
      </c>
      <c r="H3388" s="2" t="s">
        <v>14</v>
      </c>
      <c r="I3388" s="4">
        <v>42914.594444444447</v>
      </c>
      <c r="J3388" s="2" t="s">
        <v>11662</v>
      </c>
    </row>
    <row r="3389" spans="1:10" ht="135" x14ac:dyDescent="0.25">
      <c r="A3389" s="2" t="s">
        <v>29</v>
      </c>
      <c r="B3389" s="2" t="s">
        <v>10202</v>
      </c>
      <c r="C3389" s="2" t="s">
        <v>10203</v>
      </c>
      <c r="D3389" s="2" t="s">
        <v>10201</v>
      </c>
      <c r="E3389" s="2" t="s">
        <v>216</v>
      </c>
      <c r="F3389" s="3">
        <v>42278</v>
      </c>
      <c r="G3389" s="2" t="str">
        <f>"9781438457949"</f>
        <v>9781438457949</v>
      </c>
      <c r="H3389" s="2" t="s">
        <v>14</v>
      </c>
      <c r="I3389" s="4">
        <v>43083.40902777778</v>
      </c>
      <c r="J3389" s="2" t="s">
        <v>10204</v>
      </c>
    </row>
    <row r="3390" spans="1:10" ht="165" x14ac:dyDescent="0.25">
      <c r="A3390" s="2" t="s">
        <v>29</v>
      </c>
      <c r="B3390" s="2">
        <v>305.48697096651</v>
      </c>
      <c r="C3390" s="2" t="s">
        <v>5945</v>
      </c>
      <c r="D3390" s="2" t="s">
        <v>5944</v>
      </c>
      <c r="E3390" s="2" t="s">
        <v>121</v>
      </c>
      <c r="F3390" s="3">
        <v>43132</v>
      </c>
      <c r="G3390" s="2" t="str">
        <f>"9781609175498"</f>
        <v>9781609175498</v>
      </c>
      <c r="H3390" s="2" t="s">
        <v>14</v>
      </c>
      <c r="I3390" s="4">
        <v>43555.23541666667</v>
      </c>
      <c r="J3390" s="2" t="s">
        <v>5946</v>
      </c>
    </row>
    <row r="3391" spans="1:10" ht="135" x14ac:dyDescent="0.25">
      <c r="A3391" s="2" t="s">
        <v>29</v>
      </c>
      <c r="B3391" s="2">
        <v>306.10980999999998</v>
      </c>
      <c r="C3391" s="2" t="s">
        <v>6546</v>
      </c>
      <c r="D3391" s="2" t="s">
        <v>6545</v>
      </c>
      <c r="E3391" s="2" t="s">
        <v>156</v>
      </c>
      <c r="F3391" s="3">
        <v>42688</v>
      </c>
      <c r="G3391" s="2" t="str">
        <f>"9781469628530"</f>
        <v>9781469628530</v>
      </c>
      <c r="H3391" s="2" t="s">
        <v>14</v>
      </c>
      <c r="I3391" s="4">
        <v>43508.660416666666</v>
      </c>
      <c r="J3391" s="2" t="s">
        <v>6547</v>
      </c>
    </row>
    <row r="3392" spans="1:10" ht="135" x14ac:dyDescent="0.25">
      <c r="A3392" s="2" t="s">
        <v>29</v>
      </c>
      <c r="B3392" s="2">
        <v>306.09679999999997</v>
      </c>
      <c r="C3392" s="2" t="s">
        <v>13094</v>
      </c>
      <c r="D3392" s="2" t="s">
        <v>13092</v>
      </c>
      <c r="E3392" s="2" t="s">
        <v>13093</v>
      </c>
      <c r="F3392" s="3">
        <v>42083</v>
      </c>
      <c r="G3392" s="2" t="str">
        <f>"9781868147830"</f>
        <v>9781868147830</v>
      </c>
      <c r="H3392" s="2" t="s">
        <v>14</v>
      </c>
      <c r="I3392" s="4">
        <v>42739.084027777775</v>
      </c>
      <c r="J3392" s="2" t="s">
        <v>13095</v>
      </c>
    </row>
    <row r="3393" spans="1:10" ht="135" x14ac:dyDescent="0.25">
      <c r="A3393" s="2" t="s">
        <v>29</v>
      </c>
      <c r="B3393" s="2">
        <v>391.00900000000001</v>
      </c>
      <c r="C3393" s="2" t="s">
        <v>9718</v>
      </c>
      <c r="D3393" s="2" t="s">
        <v>9717</v>
      </c>
      <c r="E3393" s="2" t="s">
        <v>69</v>
      </c>
      <c r="F3393" s="3">
        <v>42100</v>
      </c>
      <c r="G3393" s="2" t="str">
        <f>"9780253015815"</f>
        <v>9780253015815</v>
      </c>
      <c r="H3393" s="2" t="s">
        <v>14</v>
      </c>
      <c r="I3393" s="4">
        <v>43133.929166666669</v>
      </c>
      <c r="J3393" s="2" t="s">
        <v>9719</v>
      </c>
    </row>
    <row r="3394" spans="1:10" ht="135" x14ac:dyDescent="0.25">
      <c r="A3394" s="2" t="s">
        <v>29</v>
      </c>
      <c r="B3394" s="2">
        <v>363.32517000000001</v>
      </c>
      <c r="C3394" s="2" t="s">
        <v>3426</v>
      </c>
      <c r="D3394" s="2" t="s">
        <v>3425</v>
      </c>
      <c r="E3394" s="2" t="s">
        <v>268</v>
      </c>
      <c r="F3394" s="3">
        <v>42738</v>
      </c>
      <c r="G3394" s="2" t="str">
        <f>"9780815727668"</f>
        <v>9780815727668</v>
      </c>
      <c r="H3394" s="2" t="s">
        <v>14</v>
      </c>
      <c r="I3394" s="4">
        <v>43783.558333333334</v>
      </c>
      <c r="J3394" s="2" t="s">
        <v>3427</v>
      </c>
    </row>
    <row r="3395" spans="1:10" ht="135" x14ac:dyDescent="0.25">
      <c r="A3395" s="2" t="s">
        <v>29</v>
      </c>
      <c r="B3395" s="2">
        <v>364</v>
      </c>
      <c r="C3395" s="2" t="s">
        <v>4781</v>
      </c>
      <c r="D3395" s="2" t="s">
        <v>4780</v>
      </c>
      <c r="E3395" s="2" t="s">
        <v>1719</v>
      </c>
      <c r="F3395" s="3">
        <v>41367</v>
      </c>
      <c r="G3395" s="2" t="str">
        <f>"9780761858539"</f>
        <v>9780761858539</v>
      </c>
      <c r="H3395" s="2" t="s">
        <v>14</v>
      </c>
      <c r="I3395" s="4">
        <v>43627.373611111114</v>
      </c>
      <c r="J3395" s="2" t="s">
        <v>4782</v>
      </c>
    </row>
    <row r="3396" spans="1:10" ht="135" x14ac:dyDescent="0.25">
      <c r="A3396" s="2" t="s">
        <v>29</v>
      </c>
      <c r="B3396" s="2" t="s">
        <v>2394</v>
      </c>
      <c r="C3396" s="2" t="s">
        <v>2395</v>
      </c>
      <c r="D3396" s="2" t="s">
        <v>2393</v>
      </c>
      <c r="E3396" s="2" t="s">
        <v>216</v>
      </c>
      <c r="F3396" s="3">
        <v>42667</v>
      </c>
      <c r="G3396" s="2" t="str">
        <f>"9781438463223"</f>
        <v>9781438463223</v>
      </c>
      <c r="H3396" s="2" t="s">
        <v>14</v>
      </c>
      <c r="I3396" s="4">
        <v>43888.474999999999</v>
      </c>
      <c r="J3396" s="2" t="s">
        <v>2396</v>
      </c>
    </row>
    <row r="3397" spans="1:10" ht="135" x14ac:dyDescent="0.25">
      <c r="A3397" s="2" t="s">
        <v>29</v>
      </c>
      <c r="B3397" s="2">
        <v>303.48200000000003</v>
      </c>
      <c r="C3397" s="2" t="s">
        <v>8603</v>
      </c>
      <c r="D3397" s="2" t="s">
        <v>8602</v>
      </c>
      <c r="E3397" s="2" t="s">
        <v>521</v>
      </c>
      <c r="F3397" s="3">
        <v>43115</v>
      </c>
      <c r="G3397" s="2" t="str">
        <f>"9789461662408"</f>
        <v>9789461662408</v>
      </c>
      <c r="H3397" s="2" t="s">
        <v>14</v>
      </c>
      <c r="I3397" s="4">
        <v>43284.556944444441</v>
      </c>
      <c r="J3397" s="2" t="s">
        <v>8604</v>
      </c>
    </row>
    <row r="3398" spans="1:10" ht="135" x14ac:dyDescent="0.25">
      <c r="A3398" s="2" t="s">
        <v>29</v>
      </c>
      <c r="B3398" s="2">
        <v>306.362098</v>
      </c>
      <c r="C3398" s="2" t="s">
        <v>153</v>
      </c>
      <c r="D3398" s="2" t="s">
        <v>2243</v>
      </c>
      <c r="E3398" s="2" t="s">
        <v>1201</v>
      </c>
      <c r="F3398" s="3">
        <v>41953</v>
      </c>
      <c r="G3398" s="2" t="str">
        <f>"9781493912643"</f>
        <v>9781493912643</v>
      </c>
      <c r="H3398" s="2" t="s">
        <v>14</v>
      </c>
      <c r="I3398" s="4">
        <v>43898.479861111111</v>
      </c>
      <c r="J3398" s="2" t="s">
        <v>2244</v>
      </c>
    </row>
    <row r="3399" spans="1:10" ht="150" x14ac:dyDescent="0.25">
      <c r="A3399" s="2" t="s">
        <v>29</v>
      </c>
      <c r="B3399" s="2">
        <v>307.1216</v>
      </c>
      <c r="C3399" s="2" t="s">
        <v>2298</v>
      </c>
      <c r="D3399" s="2" t="s">
        <v>2297</v>
      </c>
      <c r="E3399" s="2" t="s">
        <v>73</v>
      </c>
      <c r="F3399" s="3">
        <v>43739</v>
      </c>
      <c r="G3399" s="2" t="str">
        <f>"9781452960418"</f>
        <v>9781452960418</v>
      </c>
      <c r="H3399" s="2" t="s">
        <v>14</v>
      </c>
      <c r="I3399" s="4">
        <v>43895.412499999999</v>
      </c>
      <c r="J3399" s="2" t="s">
        <v>2299</v>
      </c>
    </row>
    <row r="3400" spans="1:10" ht="135" x14ac:dyDescent="0.25">
      <c r="A3400" s="2" t="s">
        <v>29</v>
      </c>
      <c r="B3400" s="2">
        <v>305.42094371000002</v>
      </c>
      <c r="C3400" s="2" t="s">
        <v>10770</v>
      </c>
      <c r="D3400" s="2" t="s">
        <v>10769</v>
      </c>
      <c r="E3400" s="2" t="s">
        <v>69</v>
      </c>
      <c r="F3400" s="3">
        <v>42639</v>
      </c>
      <c r="G3400" s="2" t="str">
        <f>"9780253021939"</f>
        <v>9780253021939</v>
      </c>
      <c r="H3400" s="2" t="s">
        <v>14</v>
      </c>
      <c r="I3400" s="4">
        <v>43037.801388888889</v>
      </c>
      <c r="J3400" s="2" t="s">
        <v>10771</v>
      </c>
    </row>
    <row r="3401" spans="1:10" ht="135" x14ac:dyDescent="0.25">
      <c r="A3401" s="2" t="s">
        <v>29</v>
      </c>
      <c r="B3401" s="2">
        <v>305.42060729999997</v>
      </c>
      <c r="C3401" s="2" t="s">
        <v>2196</v>
      </c>
      <c r="D3401" s="2" t="s">
        <v>2195</v>
      </c>
      <c r="E3401" s="2" t="s">
        <v>73</v>
      </c>
      <c r="F3401" s="3">
        <v>43760</v>
      </c>
      <c r="G3401" s="2" t="str">
        <f>"9781452964188"</f>
        <v>9781452964188</v>
      </c>
      <c r="H3401" s="2" t="s">
        <v>14</v>
      </c>
      <c r="I3401" s="4">
        <v>43903.55</v>
      </c>
      <c r="J3401" s="2" t="s">
        <v>2197</v>
      </c>
    </row>
    <row r="3402" spans="1:10" ht="135" x14ac:dyDescent="0.25">
      <c r="A3402" s="2" t="s">
        <v>29</v>
      </c>
      <c r="B3402" s="2">
        <v>306.10973000000001</v>
      </c>
      <c r="C3402" s="2" t="s">
        <v>6946</v>
      </c>
      <c r="D3402" s="2" t="s">
        <v>6944</v>
      </c>
      <c r="E3402" s="2" t="s">
        <v>6945</v>
      </c>
      <c r="F3402" s="3">
        <v>41821</v>
      </c>
      <c r="G3402" s="2" t="str">
        <f>"9781629630182"</f>
        <v>9781629630182</v>
      </c>
      <c r="H3402" s="2" t="s">
        <v>14</v>
      </c>
      <c r="I3402" s="4">
        <v>43473.730555555558</v>
      </c>
      <c r="J3402" s="2" t="s">
        <v>6947</v>
      </c>
    </row>
    <row r="3403" spans="1:10" ht="135" x14ac:dyDescent="0.25">
      <c r="A3403" s="2" t="s">
        <v>29</v>
      </c>
      <c r="B3403" s="2">
        <v>305.48</v>
      </c>
      <c r="C3403" s="2" t="s">
        <v>10382</v>
      </c>
      <c r="D3403" s="2" t="s">
        <v>10381</v>
      </c>
      <c r="E3403" s="2" t="s">
        <v>73</v>
      </c>
      <c r="F3403" s="3">
        <v>42278</v>
      </c>
      <c r="G3403" s="2" t="str">
        <f>"9781452945491"</f>
        <v>9781452945491</v>
      </c>
      <c r="H3403" s="2" t="s">
        <v>14</v>
      </c>
      <c r="I3403" s="4">
        <v>43062.533333333333</v>
      </c>
      <c r="J3403" s="2" t="s">
        <v>10383</v>
      </c>
    </row>
    <row r="3404" spans="1:10" ht="135" x14ac:dyDescent="0.25">
      <c r="A3404" s="2" t="s">
        <v>29</v>
      </c>
      <c r="B3404" s="2">
        <v>306.89999999999901</v>
      </c>
      <c r="C3404" s="2" t="s">
        <v>11070</v>
      </c>
      <c r="D3404" s="2" t="s">
        <v>11069</v>
      </c>
      <c r="E3404" s="2" t="s">
        <v>80</v>
      </c>
      <c r="F3404" s="3">
        <v>42468</v>
      </c>
      <c r="G3404" s="2" t="str">
        <f>"9783035308143"</f>
        <v>9783035308143</v>
      </c>
      <c r="H3404" s="2" t="s">
        <v>14</v>
      </c>
      <c r="I3404" s="4">
        <v>43020.363888888889</v>
      </c>
      <c r="J3404" s="2" t="s">
        <v>11071</v>
      </c>
    </row>
    <row r="3405" spans="1:10" ht="135" x14ac:dyDescent="0.25">
      <c r="A3405" s="2" t="s">
        <v>29</v>
      </c>
      <c r="B3405" s="2">
        <v>306.8909415</v>
      </c>
      <c r="C3405" s="2" t="s">
        <v>13090</v>
      </c>
      <c r="D3405" s="2" t="s">
        <v>13089</v>
      </c>
      <c r="E3405" s="2" t="s">
        <v>4660</v>
      </c>
      <c r="F3405" s="3">
        <v>34066</v>
      </c>
      <c r="G3405" s="2" t="str">
        <f>"9780813159119"</f>
        <v>9780813159119</v>
      </c>
      <c r="H3405" s="2" t="s">
        <v>14</v>
      </c>
      <c r="I3405" s="4">
        <v>42739.084027777775</v>
      </c>
      <c r="J3405" s="2" t="s">
        <v>13091</v>
      </c>
    </row>
    <row r="3406" spans="1:10" ht="135" x14ac:dyDescent="0.25">
      <c r="A3406" s="2" t="s">
        <v>29</v>
      </c>
      <c r="B3406" s="2">
        <v>305.42093999999997</v>
      </c>
      <c r="C3406" s="2" t="s">
        <v>2491</v>
      </c>
      <c r="D3406" s="2" t="s">
        <v>2490</v>
      </c>
      <c r="E3406" s="2" t="s">
        <v>216</v>
      </c>
      <c r="F3406" s="3">
        <v>42125</v>
      </c>
      <c r="G3406" s="2" t="str">
        <f>"9781438455938"</f>
        <v>9781438455938</v>
      </c>
      <c r="H3406" s="2" t="s">
        <v>14</v>
      </c>
      <c r="I3406" s="4">
        <v>43881.602083333331</v>
      </c>
      <c r="J3406" s="2" t="s">
        <v>2492</v>
      </c>
    </row>
    <row r="3407" spans="1:10" ht="135" x14ac:dyDescent="0.25">
      <c r="A3407" s="2" t="s">
        <v>29</v>
      </c>
      <c r="B3407" s="2">
        <v>305.23520954000003</v>
      </c>
      <c r="C3407" s="2" t="s">
        <v>2155</v>
      </c>
      <c r="D3407" s="2" t="s">
        <v>2154</v>
      </c>
      <c r="E3407" s="2" t="s">
        <v>578</v>
      </c>
      <c r="F3407" s="3">
        <v>43749</v>
      </c>
      <c r="G3407" s="2" t="str">
        <f>"9780252051586"</f>
        <v>9780252051586</v>
      </c>
      <c r="H3407" s="2" t="s">
        <v>14</v>
      </c>
      <c r="I3407" s="4">
        <v>43909.493055555555</v>
      </c>
      <c r="J3407" s="2" t="s">
        <v>2156</v>
      </c>
    </row>
    <row r="3408" spans="1:10" ht="135" x14ac:dyDescent="0.25">
      <c r="A3408" s="2" t="s">
        <v>29</v>
      </c>
      <c r="B3408" s="2">
        <v>307.74</v>
      </c>
      <c r="C3408" s="2" t="s">
        <v>153</v>
      </c>
      <c r="D3408" s="2" t="s">
        <v>151</v>
      </c>
      <c r="E3408" s="2" t="s">
        <v>152</v>
      </c>
      <c r="F3408" s="3">
        <v>43384</v>
      </c>
      <c r="G3408" s="2" t="str">
        <f>"9789811321313"</f>
        <v>9789811321313</v>
      </c>
      <c r="H3408" s="2" t="s">
        <v>14</v>
      </c>
      <c r="I3408" s="4">
        <v>44068.470138888886</v>
      </c>
      <c r="J3408" s="2" t="s">
        <v>154</v>
      </c>
    </row>
    <row r="3409" spans="1:10" ht="165" x14ac:dyDescent="0.25">
      <c r="A3409" s="2" t="s">
        <v>29</v>
      </c>
      <c r="B3409" s="2" t="s">
        <v>12191</v>
      </c>
      <c r="C3409" s="2" t="s">
        <v>12192</v>
      </c>
      <c r="D3409" s="2" t="s">
        <v>12190</v>
      </c>
      <c r="E3409" s="2" t="s">
        <v>156</v>
      </c>
      <c r="F3409" s="3">
        <v>35023</v>
      </c>
      <c r="G3409" s="2" t="str">
        <f>"9781469616100"</f>
        <v>9781469616100</v>
      </c>
      <c r="H3409" s="2" t="s">
        <v>14</v>
      </c>
      <c r="I3409" s="4">
        <v>42837.623611111114</v>
      </c>
      <c r="J3409" s="2" t="s">
        <v>12193</v>
      </c>
    </row>
    <row r="3410" spans="1:10" ht="135" x14ac:dyDescent="0.25">
      <c r="A3410" s="2" t="s">
        <v>29</v>
      </c>
      <c r="B3410" s="2" t="s">
        <v>6452</v>
      </c>
      <c r="C3410" s="2" t="s">
        <v>6453</v>
      </c>
      <c r="D3410" s="2" t="s">
        <v>6451</v>
      </c>
      <c r="E3410" s="2" t="s">
        <v>216</v>
      </c>
      <c r="F3410" s="3">
        <v>41944</v>
      </c>
      <c r="G3410" s="2" t="str">
        <f>"9781438453361"</f>
        <v>9781438453361</v>
      </c>
      <c r="H3410" s="2" t="s">
        <v>14</v>
      </c>
      <c r="I3410" s="4">
        <v>43516.723611111112</v>
      </c>
      <c r="J3410" s="2" t="s">
        <v>6454</v>
      </c>
    </row>
    <row r="3411" spans="1:10" ht="165" x14ac:dyDescent="0.25">
      <c r="A3411" s="2" t="s">
        <v>29</v>
      </c>
      <c r="B3411" s="2">
        <v>305.80097633499997</v>
      </c>
      <c r="C3411" s="2" t="s">
        <v>3035</v>
      </c>
      <c r="D3411" s="2" t="s">
        <v>3034</v>
      </c>
      <c r="E3411" s="2" t="s">
        <v>322</v>
      </c>
      <c r="F3411" s="3">
        <v>42917</v>
      </c>
      <c r="G3411" s="2" t="str">
        <f>"9780820350905"</f>
        <v>9780820350905</v>
      </c>
      <c r="H3411" s="2" t="s">
        <v>14</v>
      </c>
      <c r="I3411" s="4">
        <v>43827.686111111114</v>
      </c>
      <c r="J3411" s="2" t="s">
        <v>3036</v>
      </c>
    </row>
    <row r="3412" spans="1:10" ht="135" x14ac:dyDescent="0.25">
      <c r="A3412" s="2" t="s">
        <v>29</v>
      </c>
      <c r="B3412" s="2" t="s">
        <v>12447</v>
      </c>
      <c r="C3412" s="2" t="s">
        <v>12448</v>
      </c>
      <c r="D3412" s="2" t="s">
        <v>12446</v>
      </c>
      <c r="E3412" s="2" t="s">
        <v>164</v>
      </c>
      <c r="F3412" s="3">
        <v>41944</v>
      </c>
      <c r="G3412" s="2" t="str">
        <f>"9780826351999"</f>
        <v>9780826351999</v>
      </c>
      <c r="H3412" s="2" t="s">
        <v>14</v>
      </c>
      <c r="I3412" s="4">
        <v>42805.90347222222</v>
      </c>
      <c r="J3412" s="2" t="s">
        <v>12449</v>
      </c>
    </row>
    <row r="3413" spans="1:10" ht="180" x14ac:dyDescent="0.25">
      <c r="A3413" s="2" t="s">
        <v>29</v>
      </c>
      <c r="B3413" s="2">
        <v>303.48402850000002</v>
      </c>
      <c r="C3413" s="2" t="s">
        <v>1082</v>
      </c>
      <c r="D3413" s="2" t="s">
        <v>7599</v>
      </c>
      <c r="E3413" s="2" t="s">
        <v>37</v>
      </c>
      <c r="F3413" s="3">
        <v>42724</v>
      </c>
      <c r="G3413" s="2" t="str">
        <f>"9783319409498"</f>
        <v>9783319409498</v>
      </c>
      <c r="H3413" s="2" t="s">
        <v>14</v>
      </c>
      <c r="I3413" s="4">
        <v>43405.732638888891</v>
      </c>
      <c r="J3413" s="2" t="s">
        <v>7600</v>
      </c>
    </row>
    <row r="3414" spans="1:10" ht="180" x14ac:dyDescent="0.25">
      <c r="A3414" s="2" t="s">
        <v>29</v>
      </c>
      <c r="B3414" s="2" t="s">
        <v>4239</v>
      </c>
      <c r="C3414" s="2" t="s">
        <v>4240</v>
      </c>
      <c r="D3414" s="2" t="s">
        <v>4238</v>
      </c>
      <c r="E3414" s="2" t="s">
        <v>2747</v>
      </c>
      <c r="F3414" s="3">
        <v>43098</v>
      </c>
      <c r="G3414" s="2" t="str">
        <f>"9781433145674"</f>
        <v>9781433145674</v>
      </c>
      <c r="H3414" s="2" t="s">
        <v>14</v>
      </c>
      <c r="I3414" s="4">
        <v>43690.472916666666</v>
      </c>
      <c r="J3414" s="2" t="s">
        <v>4241</v>
      </c>
    </row>
    <row r="3415" spans="1:10" ht="135" x14ac:dyDescent="0.25">
      <c r="A3415" s="2" t="s">
        <v>29</v>
      </c>
      <c r="B3415" s="2">
        <v>306.09800000000001</v>
      </c>
      <c r="C3415" s="2" t="s">
        <v>12246</v>
      </c>
      <c r="D3415" s="2" t="s">
        <v>12245</v>
      </c>
      <c r="E3415" s="2" t="s">
        <v>89</v>
      </c>
      <c r="F3415" s="3">
        <v>41791</v>
      </c>
      <c r="G3415" s="2" t="str">
        <f>"9781782382935"</f>
        <v>9781782382935</v>
      </c>
      <c r="H3415" s="2" t="s">
        <v>14</v>
      </c>
      <c r="I3415" s="4">
        <v>42826.590277777781</v>
      </c>
      <c r="J3415" s="2" t="s">
        <v>12247</v>
      </c>
    </row>
    <row r="3416" spans="1:10" ht="135" x14ac:dyDescent="0.25">
      <c r="A3416" s="2" t="s">
        <v>29</v>
      </c>
      <c r="B3416" s="2" t="s">
        <v>11831</v>
      </c>
      <c r="C3416" s="2" t="s">
        <v>11832</v>
      </c>
      <c r="D3416" s="2" t="s">
        <v>11830</v>
      </c>
      <c r="E3416" s="2" t="s">
        <v>310</v>
      </c>
      <c r="F3416" s="3">
        <v>40800</v>
      </c>
      <c r="G3416" s="2" t="str">
        <f>"9780815650805"</f>
        <v>9780815650805</v>
      </c>
      <c r="H3416" s="2" t="s">
        <v>14</v>
      </c>
      <c r="I3416" s="4">
        <v>42884.582638888889</v>
      </c>
      <c r="J3416" s="2" t="s">
        <v>11833</v>
      </c>
    </row>
    <row r="3417" spans="1:10" ht="135" x14ac:dyDescent="0.25">
      <c r="A3417" s="2" t="s">
        <v>29</v>
      </c>
      <c r="C3417" s="2" t="s">
        <v>2751</v>
      </c>
      <c r="D3417" s="2" t="s">
        <v>2750</v>
      </c>
      <c r="E3417" s="2" t="s">
        <v>260</v>
      </c>
      <c r="F3417" s="3">
        <v>43847</v>
      </c>
      <c r="G3417" s="2" t="str">
        <f>"9781439917329"</f>
        <v>9781439917329</v>
      </c>
      <c r="H3417" s="2" t="s">
        <v>14</v>
      </c>
      <c r="I3417" s="4">
        <v>43859.464583333334</v>
      </c>
      <c r="J3417" s="2" t="s">
        <v>2752</v>
      </c>
    </row>
    <row r="3418" spans="1:10" ht="135" x14ac:dyDescent="0.25">
      <c r="A3418" s="2" t="s">
        <v>29</v>
      </c>
      <c r="B3418" s="2">
        <v>305.800951</v>
      </c>
      <c r="C3418" s="2" t="s">
        <v>153</v>
      </c>
      <c r="D3418" s="2" t="s">
        <v>736</v>
      </c>
      <c r="E3418" s="2" t="s">
        <v>37</v>
      </c>
      <c r="F3418" s="3">
        <v>43521</v>
      </c>
      <c r="G3418" s="2" t="str">
        <f>"9783030053574"</f>
        <v>9783030053574</v>
      </c>
      <c r="H3418" s="2" t="s">
        <v>14</v>
      </c>
      <c r="I3418" s="4">
        <v>43994.426388888889</v>
      </c>
      <c r="J3418" s="2" t="s">
        <v>737</v>
      </c>
    </row>
    <row r="3419" spans="1:10" ht="135" x14ac:dyDescent="0.25">
      <c r="A3419" s="2" t="s">
        <v>29</v>
      </c>
      <c r="B3419" s="2">
        <v>305.30979460999998</v>
      </c>
      <c r="C3419" s="2" t="s">
        <v>3049</v>
      </c>
      <c r="D3419" s="2" t="s">
        <v>3048</v>
      </c>
      <c r="E3419" s="2" t="s">
        <v>578</v>
      </c>
      <c r="F3419" s="3">
        <v>43152</v>
      </c>
      <c r="G3419" s="2" t="str">
        <f>"9780252050268"</f>
        <v>9780252050268</v>
      </c>
      <c r="H3419" s="2" t="s">
        <v>14</v>
      </c>
      <c r="I3419" s="4">
        <v>43821.902777777781</v>
      </c>
      <c r="J3419" s="2" t="s">
        <v>3050</v>
      </c>
    </row>
    <row r="3420" spans="1:10" ht="135" x14ac:dyDescent="0.25">
      <c r="A3420" s="2" t="s">
        <v>29</v>
      </c>
      <c r="B3420" s="2">
        <v>305.42</v>
      </c>
      <c r="C3420" s="2" t="s">
        <v>11051</v>
      </c>
      <c r="D3420" s="2" t="s">
        <v>11050</v>
      </c>
      <c r="E3420" s="2" t="s">
        <v>578</v>
      </c>
      <c r="F3420" s="3">
        <v>42621</v>
      </c>
      <c r="G3420" s="2" t="str">
        <f>"9780252098833"</f>
        <v>9780252098833</v>
      </c>
      <c r="H3420" s="2" t="s">
        <v>14</v>
      </c>
      <c r="I3420" s="4">
        <v>43020.7</v>
      </c>
      <c r="J3420" s="2" t="s">
        <v>11052</v>
      </c>
    </row>
    <row r="3421" spans="1:10" ht="135" x14ac:dyDescent="0.25">
      <c r="A3421" s="2" t="s">
        <v>29</v>
      </c>
      <c r="B3421" s="2" t="s">
        <v>9153</v>
      </c>
      <c r="C3421" s="2" t="s">
        <v>9154</v>
      </c>
      <c r="D3421" s="2" t="s">
        <v>9152</v>
      </c>
      <c r="E3421" s="2" t="s">
        <v>73</v>
      </c>
      <c r="F3421" s="3">
        <v>42444</v>
      </c>
      <c r="G3421" s="2" t="str">
        <f>"9781452949864"</f>
        <v>9781452949864</v>
      </c>
      <c r="H3421" s="2" t="s">
        <v>14</v>
      </c>
      <c r="I3421" s="4">
        <v>43207.47152777778</v>
      </c>
      <c r="J3421" s="2" t="s">
        <v>9155</v>
      </c>
    </row>
    <row r="3422" spans="1:10" ht="135" x14ac:dyDescent="0.25">
      <c r="A3422" s="2" t="s">
        <v>29</v>
      </c>
      <c r="B3422" s="2">
        <v>362.82920973</v>
      </c>
      <c r="C3422" s="2" t="s">
        <v>13041</v>
      </c>
      <c r="D3422" s="2" t="s">
        <v>13040</v>
      </c>
      <c r="E3422" s="2" t="s">
        <v>235</v>
      </c>
      <c r="F3422" s="3">
        <v>42478</v>
      </c>
      <c r="G3422" s="2" t="str">
        <f>"9781440837951"</f>
        <v>9781440837951</v>
      </c>
      <c r="H3422" s="2" t="s">
        <v>14</v>
      </c>
      <c r="I3422" s="4">
        <v>42746.084027777775</v>
      </c>
      <c r="J3422" s="2" t="s">
        <v>13042</v>
      </c>
    </row>
    <row r="3423" spans="1:10" ht="135" x14ac:dyDescent="0.25">
      <c r="A3423" s="2" t="s">
        <v>29</v>
      </c>
      <c r="B3423" s="2">
        <v>301.01</v>
      </c>
      <c r="C3423" s="2" t="s">
        <v>2273</v>
      </c>
      <c r="D3423" s="2" t="s">
        <v>2272</v>
      </c>
      <c r="E3423" s="2" t="s">
        <v>846</v>
      </c>
      <c r="F3423" s="3">
        <v>42678</v>
      </c>
      <c r="G3423" s="2" t="str">
        <f>"9781442636675"</f>
        <v>9781442636675</v>
      </c>
      <c r="H3423" s="2" t="s">
        <v>14</v>
      </c>
      <c r="I3423" s="4">
        <v>43896.379166666666</v>
      </c>
      <c r="J3423" s="2" t="s">
        <v>2274</v>
      </c>
    </row>
    <row r="3424" spans="1:10" ht="225" x14ac:dyDescent="0.25">
      <c r="A3424" s="2" t="s">
        <v>29</v>
      </c>
      <c r="B3424" s="2">
        <v>305.550973</v>
      </c>
      <c r="C3424" s="2" t="s">
        <v>7568</v>
      </c>
      <c r="D3424" s="2" t="s">
        <v>7567</v>
      </c>
      <c r="E3424" s="2" t="s">
        <v>268</v>
      </c>
      <c r="F3424" s="3">
        <v>43228</v>
      </c>
      <c r="G3424" s="2" t="str">
        <f>"9780815735496"</f>
        <v>9780815735496</v>
      </c>
      <c r="H3424" s="2" t="s">
        <v>14</v>
      </c>
      <c r="I3424" s="4">
        <v>43408.739583333336</v>
      </c>
      <c r="J3424" s="2" t="s">
        <v>7569</v>
      </c>
    </row>
    <row r="3425" spans="1:10" ht="150" x14ac:dyDescent="0.25">
      <c r="A3425" s="2" t="s">
        <v>29</v>
      </c>
      <c r="B3425" s="2">
        <v>391.00972999999999</v>
      </c>
      <c r="C3425" s="2" t="s">
        <v>10717</v>
      </c>
      <c r="D3425" s="2" t="s">
        <v>10716</v>
      </c>
      <c r="E3425" s="2" t="s">
        <v>50</v>
      </c>
      <c r="F3425" s="3">
        <v>42278</v>
      </c>
      <c r="G3425" s="2" t="str">
        <f>"9780803284463"</f>
        <v>9780803284463</v>
      </c>
      <c r="H3425" s="2" t="s">
        <v>14</v>
      </c>
      <c r="I3425" s="4">
        <v>43039.647916666669</v>
      </c>
      <c r="J3425" s="2" t="s">
        <v>10718</v>
      </c>
    </row>
    <row r="3426" spans="1:10" ht="135" x14ac:dyDescent="0.25">
      <c r="A3426" s="2" t="s">
        <v>29</v>
      </c>
      <c r="B3426" s="2" t="s">
        <v>641</v>
      </c>
      <c r="D3426" s="2" t="s">
        <v>640</v>
      </c>
      <c r="E3426" s="2" t="s">
        <v>54</v>
      </c>
      <c r="F3426" s="3">
        <v>43928</v>
      </c>
      <c r="G3426" s="2" t="str">
        <f>"9781503611993"</f>
        <v>9781503611993</v>
      </c>
      <c r="H3426" s="2" t="s">
        <v>14</v>
      </c>
      <c r="I3426" s="4">
        <v>44005.396527777775</v>
      </c>
      <c r="J3426" s="2" t="s">
        <v>642</v>
      </c>
    </row>
    <row r="3427" spans="1:10" ht="135" x14ac:dyDescent="0.25">
      <c r="A3427" s="2" t="s">
        <v>29</v>
      </c>
      <c r="B3427" s="2">
        <v>306.09438</v>
      </c>
      <c r="C3427" s="2" t="s">
        <v>6127</v>
      </c>
      <c r="D3427" s="2" t="s">
        <v>6126</v>
      </c>
      <c r="E3427" s="2" t="s">
        <v>69</v>
      </c>
      <c r="F3427" s="3">
        <v>43017</v>
      </c>
      <c r="G3427" s="2" t="str">
        <f>"9780253029096"</f>
        <v>9780253029096</v>
      </c>
      <c r="H3427" s="2" t="s">
        <v>14</v>
      </c>
      <c r="I3427" s="4">
        <v>43537.811805555553</v>
      </c>
      <c r="J3427" s="2" t="s">
        <v>6128</v>
      </c>
    </row>
    <row r="3428" spans="1:10" ht="135" x14ac:dyDescent="0.25">
      <c r="A3428" s="2" t="s">
        <v>29</v>
      </c>
      <c r="B3428" s="2">
        <v>306.43094000000002</v>
      </c>
      <c r="D3428" s="2" t="s">
        <v>1480</v>
      </c>
      <c r="E3428" s="2" t="s">
        <v>54</v>
      </c>
      <c r="F3428" s="3">
        <v>43865</v>
      </c>
      <c r="G3428" s="2" t="str">
        <f>"9781503611153"</f>
        <v>9781503611153</v>
      </c>
      <c r="H3428" s="2" t="s">
        <v>14</v>
      </c>
      <c r="I3428" s="4">
        <v>43942.20416666667</v>
      </c>
      <c r="J3428" s="2" t="s">
        <v>1481</v>
      </c>
    </row>
    <row r="3429" spans="1:10" ht="135" x14ac:dyDescent="0.25">
      <c r="A3429" s="2" t="s">
        <v>29</v>
      </c>
      <c r="B3429" s="2">
        <v>305.24200000000002</v>
      </c>
      <c r="C3429" s="2" t="s">
        <v>6744</v>
      </c>
      <c r="D3429" s="2" t="s">
        <v>6743</v>
      </c>
      <c r="E3429" s="2" t="s">
        <v>69</v>
      </c>
      <c r="F3429" s="3">
        <v>43020</v>
      </c>
      <c r="G3429" s="2" t="str">
        <f>"9780253030191"</f>
        <v>9780253030191</v>
      </c>
      <c r="H3429" s="2" t="s">
        <v>14</v>
      </c>
      <c r="I3429" s="4">
        <v>43490.31527777778</v>
      </c>
      <c r="J3429" s="2" t="s">
        <v>6745</v>
      </c>
    </row>
    <row r="3430" spans="1:10" ht="135" x14ac:dyDescent="0.25">
      <c r="A3430" s="2" t="s">
        <v>29</v>
      </c>
      <c r="B3430" s="2">
        <v>306.39999999999998</v>
      </c>
      <c r="C3430" s="2" t="s">
        <v>12179</v>
      </c>
      <c r="D3430" s="2" t="s">
        <v>12178</v>
      </c>
      <c r="E3430" s="2" t="s">
        <v>2560</v>
      </c>
      <c r="F3430" s="3">
        <v>40802</v>
      </c>
      <c r="G3430" s="2" t="str">
        <f>"9780826517883"</f>
        <v>9780826517883</v>
      </c>
      <c r="H3430" s="2" t="s">
        <v>14</v>
      </c>
      <c r="I3430" s="4">
        <v>42838.597916666666</v>
      </c>
      <c r="J3430" s="2" t="s">
        <v>12180</v>
      </c>
    </row>
    <row r="3431" spans="1:10" ht="135" x14ac:dyDescent="0.25">
      <c r="A3431" s="2" t="s">
        <v>29</v>
      </c>
      <c r="B3431" s="2" t="s">
        <v>2053</v>
      </c>
      <c r="C3431" s="2" t="s">
        <v>2054</v>
      </c>
      <c r="D3431" s="2" t="s">
        <v>2052</v>
      </c>
      <c r="E3431" s="2" t="s">
        <v>1578</v>
      </c>
      <c r="F3431" s="3">
        <v>43487</v>
      </c>
      <c r="G3431" s="2" t="str">
        <f>"9781509531431"</f>
        <v>9781509531431</v>
      </c>
      <c r="H3431" s="2" t="s">
        <v>14</v>
      </c>
      <c r="I3431" s="4">
        <v>43916.06527777778</v>
      </c>
      <c r="J3431" s="2" t="s">
        <v>2055</v>
      </c>
    </row>
    <row r="3432" spans="1:10" ht="135" x14ac:dyDescent="0.25">
      <c r="A3432" s="2" t="s">
        <v>29</v>
      </c>
      <c r="B3432" s="2">
        <v>398.21</v>
      </c>
      <c r="C3432" s="2" t="s">
        <v>8335</v>
      </c>
      <c r="D3432" s="2" t="s">
        <v>8334</v>
      </c>
      <c r="E3432" s="2" t="s">
        <v>235</v>
      </c>
      <c r="F3432" s="3">
        <v>41809</v>
      </c>
      <c r="G3432" s="2" t="str">
        <f>"9781440803895"</f>
        <v>9781440803895</v>
      </c>
      <c r="H3432" s="2" t="s">
        <v>14</v>
      </c>
      <c r="I3432" s="4">
        <v>43320.486111111109</v>
      </c>
      <c r="J3432" s="2" t="s">
        <v>8336</v>
      </c>
    </row>
    <row r="3433" spans="1:10" ht="135" x14ac:dyDescent="0.25">
      <c r="A3433" s="2" t="s">
        <v>29</v>
      </c>
      <c r="B3433" s="2">
        <v>305.42095399999999</v>
      </c>
      <c r="C3433" s="2" t="s">
        <v>7123</v>
      </c>
      <c r="D3433" s="2" t="s">
        <v>7122</v>
      </c>
      <c r="E3433" s="2" t="s">
        <v>73</v>
      </c>
      <c r="F3433" s="3">
        <v>41730</v>
      </c>
      <c r="G3433" s="2" t="str">
        <f>"9781452941417"</f>
        <v>9781452941417</v>
      </c>
      <c r="H3433" s="2" t="s">
        <v>14</v>
      </c>
      <c r="I3433" s="4">
        <v>43444.511805555558</v>
      </c>
      <c r="J3433" s="2" t="s">
        <v>7124</v>
      </c>
    </row>
    <row r="3434" spans="1:10" ht="135" x14ac:dyDescent="0.25">
      <c r="A3434" s="2" t="s">
        <v>29</v>
      </c>
      <c r="B3434" s="2" t="s">
        <v>11508</v>
      </c>
      <c r="C3434" s="2" t="s">
        <v>11509</v>
      </c>
      <c r="D3434" s="2" t="s">
        <v>11507</v>
      </c>
      <c r="E3434" s="2" t="s">
        <v>73</v>
      </c>
      <c r="F3434" s="3">
        <v>40770</v>
      </c>
      <c r="G3434" s="2" t="str">
        <f>"9780816678556"</f>
        <v>9780816678556</v>
      </c>
      <c r="H3434" s="2" t="s">
        <v>14</v>
      </c>
      <c r="I3434" s="4">
        <v>42945.993750000001</v>
      </c>
      <c r="J3434" s="2" t="s">
        <v>11510</v>
      </c>
    </row>
    <row r="3435" spans="1:10" ht="150" x14ac:dyDescent="0.25">
      <c r="A3435" s="2" t="s">
        <v>29</v>
      </c>
      <c r="B3435" s="2">
        <v>394.12089960729998</v>
      </c>
      <c r="D3435" s="2" t="s">
        <v>613</v>
      </c>
      <c r="E3435" s="2" t="s">
        <v>156</v>
      </c>
      <c r="F3435" s="3">
        <v>43467</v>
      </c>
      <c r="G3435" s="2" t="str">
        <f>"9781469645230"</f>
        <v>9781469645230</v>
      </c>
      <c r="H3435" s="2" t="s">
        <v>14</v>
      </c>
      <c r="I3435" s="4">
        <v>44007.784722222219</v>
      </c>
      <c r="J3435" s="2" t="s">
        <v>614</v>
      </c>
    </row>
    <row r="3436" spans="1:10" ht="135" x14ac:dyDescent="0.25">
      <c r="A3436" s="2" t="s">
        <v>29</v>
      </c>
      <c r="B3436" s="2">
        <v>306.07</v>
      </c>
      <c r="C3436" s="2" t="s">
        <v>10484</v>
      </c>
      <c r="D3436" s="2" t="s">
        <v>10483</v>
      </c>
      <c r="E3436" s="2" t="s">
        <v>856</v>
      </c>
      <c r="F3436" s="3">
        <v>39569</v>
      </c>
      <c r="G3436" s="2" t="str">
        <f>"9780295997636"</f>
        <v>9780295997636</v>
      </c>
      <c r="H3436" s="2" t="s">
        <v>14</v>
      </c>
      <c r="I3436" s="4">
        <v>43054.724305555559</v>
      </c>
      <c r="J3436" s="2" t="s">
        <v>10485</v>
      </c>
    </row>
    <row r="3437" spans="1:10" ht="135" x14ac:dyDescent="0.25">
      <c r="A3437" s="2" t="s">
        <v>29</v>
      </c>
      <c r="B3437" s="2">
        <v>306.77</v>
      </c>
      <c r="C3437" s="2" t="s">
        <v>9264</v>
      </c>
      <c r="D3437" s="2" t="s">
        <v>9263</v>
      </c>
      <c r="E3437" s="2" t="s">
        <v>216</v>
      </c>
      <c r="F3437" s="3">
        <v>42217</v>
      </c>
      <c r="G3437" s="2" t="str">
        <f>"9781438457109"</f>
        <v>9781438457109</v>
      </c>
      <c r="H3437" s="2" t="s">
        <v>14</v>
      </c>
      <c r="I3437" s="4">
        <v>43193.706250000003</v>
      </c>
      <c r="J3437" s="2" t="s">
        <v>9265</v>
      </c>
    </row>
    <row r="3438" spans="1:10" ht="135" x14ac:dyDescent="0.25">
      <c r="A3438" s="2" t="s">
        <v>29</v>
      </c>
      <c r="B3438" s="2">
        <v>303.48330099999998</v>
      </c>
      <c r="C3438" s="2" t="s">
        <v>12890</v>
      </c>
      <c r="D3438" s="2" t="s">
        <v>12889</v>
      </c>
      <c r="E3438" s="2" t="s">
        <v>73</v>
      </c>
      <c r="F3438" s="3">
        <v>39360</v>
      </c>
      <c r="G3438" s="2" t="str">
        <f>"9780816653973"</f>
        <v>9780816653973</v>
      </c>
      <c r="H3438" s="2" t="s">
        <v>14</v>
      </c>
      <c r="I3438" s="4">
        <v>42762.536111111112</v>
      </c>
      <c r="J3438" s="2" t="s">
        <v>12891</v>
      </c>
    </row>
    <row r="3439" spans="1:10" ht="195" x14ac:dyDescent="0.25">
      <c r="A3439" s="2" t="s">
        <v>29</v>
      </c>
      <c r="B3439" s="2">
        <v>305.80097999999902</v>
      </c>
      <c r="C3439" s="2" t="s">
        <v>898</v>
      </c>
      <c r="D3439" s="2" t="s">
        <v>896</v>
      </c>
      <c r="E3439" s="2" t="s">
        <v>897</v>
      </c>
      <c r="F3439" s="3">
        <v>42247</v>
      </c>
      <c r="G3439" s="2" t="str">
        <f>"9783412218423"</f>
        <v>9783412218423</v>
      </c>
      <c r="H3439" s="2" t="s">
        <v>14</v>
      </c>
      <c r="I3439" s="4">
        <v>43976.740972222222</v>
      </c>
      <c r="J3439" s="2" t="s">
        <v>899</v>
      </c>
    </row>
    <row r="3440" spans="1:10" ht="135" x14ac:dyDescent="0.25">
      <c r="A3440" s="2" t="s">
        <v>29</v>
      </c>
      <c r="B3440" s="2">
        <v>305.39999999999998</v>
      </c>
      <c r="C3440" s="2" t="s">
        <v>11134</v>
      </c>
      <c r="D3440" s="2" t="s">
        <v>11133</v>
      </c>
      <c r="E3440" s="2" t="s">
        <v>80</v>
      </c>
      <c r="F3440" s="3">
        <v>41807</v>
      </c>
      <c r="G3440" s="2" t="str">
        <f>"9783653031324"</f>
        <v>9783653031324</v>
      </c>
      <c r="H3440" s="2" t="s">
        <v>14</v>
      </c>
      <c r="I3440" s="4">
        <v>43014.426388888889</v>
      </c>
      <c r="J3440" s="2" t="s">
        <v>11135</v>
      </c>
    </row>
    <row r="3441" spans="1:10" ht="135" x14ac:dyDescent="0.25">
      <c r="A3441" s="2" t="s">
        <v>29</v>
      </c>
      <c r="B3441" s="2">
        <v>391.00880000000001</v>
      </c>
      <c r="C3441" s="2" t="s">
        <v>7998</v>
      </c>
      <c r="D3441" s="2" t="s">
        <v>7997</v>
      </c>
      <c r="E3441" s="2" t="s">
        <v>723</v>
      </c>
      <c r="F3441" s="3">
        <v>41562</v>
      </c>
      <c r="G3441" s="2" t="str">
        <f>"9781612492919"</f>
        <v>9781612492919</v>
      </c>
      <c r="H3441" s="2" t="s">
        <v>14</v>
      </c>
      <c r="I3441" s="4">
        <v>43367.510416666664</v>
      </c>
      <c r="J3441" s="2" t="s">
        <v>7999</v>
      </c>
    </row>
    <row r="3442" spans="1:10" ht="135" x14ac:dyDescent="0.25">
      <c r="A3442" s="2" t="s">
        <v>29</v>
      </c>
      <c r="B3442" s="2">
        <v>307.11609399999998</v>
      </c>
      <c r="C3442" s="2" t="s">
        <v>153</v>
      </c>
      <c r="D3442" s="2" t="s">
        <v>10761</v>
      </c>
      <c r="E3442" s="2" t="s">
        <v>37</v>
      </c>
      <c r="F3442" s="3">
        <v>42591</v>
      </c>
      <c r="G3442" s="2" t="str">
        <f>"9783319439372"</f>
        <v>9783319439372</v>
      </c>
      <c r="H3442" s="2" t="s">
        <v>14</v>
      </c>
      <c r="I3442" s="4">
        <v>43038.493750000001</v>
      </c>
      <c r="J3442" s="2" t="s">
        <v>10762</v>
      </c>
    </row>
    <row r="3443" spans="1:10" ht="135" x14ac:dyDescent="0.25">
      <c r="A3443" s="2" t="s">
        <v>29</v>
      </c>
      <c r="B3443" s="2">
        <v>305.3</v>
      </c>
      <c r="C3443" s="2" t="s">
        <v>9199</v>
      </c>
      <c r="D3443" s="2" t="s">
        <v>9198</v>
      </c>
      <c r="E3443" s="2" t="s">
        <v>69</v>
      </c>
      <c r="F3443" s="3">
        <v>42744</v>
      </c>
      <c r="G3443" s="2" t="str">
        <f>"9780253024596"</f>
        <v>9780253024596</v>
      </c>
      <c r="H3443" s="2" t="s">
        <v>14</v>
      </c>
      <c r="I3443" s="4">
        <v>43200.504861111112</v>
      </c>
      <c r="J3443" s="2" t="s">
        <v>9200</v>
      </c>
    </row>
    <row r="3444" spans="1:10" ht="135" x14ac:dyDescent="0.25">
      <c r="A3444" s="2" t="s">
        <v>29</v>
      </c>
      <c r="B3444" s="2">
        <v>365.43</v>
      </c>
      <c r="C3444" s="2" t="s">
        <v>38</v>
      </c>
      <c r="D3444" s="2" t="s">
        <v>36</v>
      </c>
      <c r="E3444" s="2" t="s">
        <v>37</v>
      </c>
      <c r="F3444" s="3">
        <v>43117</v>
      </c>
      <c r="G3444" s="2" t="str">
        <f>"9783319636856"</f>
        <v>9783319636856</v>
      </c>
      <c r="H3444" s="2" t="s">
        <v>14</v>
      </c>
      <c r="I3444" s="4">
        <v>44075.341666666667</v>
      </c>
      <c r="J3444" s="2" t="s">
        <v>39</v>
      </c>
    </row>
    <row r="3445" spans="1:10" ht="135" x14ac:dyDescent="0.25">
      <c r="A3445" s="2" t="s">
        <v>29</v>
      </c>
      <c r="B3445" s="2">
        <v>363.32499999999999</v>
      </c>
      <c r="C3445" s="2" t="s">
        <v>11287</v>
      </c>
      <c r="D3445" s="2" t="s">
        <v>11286</v>
      </c>
      <c r="E3445" s="2" t="s">
        <v>846</v>
      </c>
      <c r="F3445" s="3">
        <v>42536</v>
      </c>
      <c r="G3445" s="2" t="str">
        <f>"9781487510121"</f>
        <v>9781487510121</v>
      </c>
      <c r="H3445" s="2" t="s">
        <v>14</v>
      </c>
      <c r="I3445" s="4">
        <v>42994.512499999997</v>
      </c>
      <c r="J3445" s="2" t="s">
        <v>11288</v>
      </c>
    </row>
    <row r="3446" spans="1:10" ht="135" x14ac:dyDescent="0.25">
      <c r="A3446" s="2" t="s">
        <v>29</v>
      </c>
      <c r="B3446" s="2" t="s">
        <v>3140</v>
      </c>
      <c r="C3446" s="2" t="s">
        <v>3141</v>
      </c>
      <c r="D3446" s="2" t="s">
        <v>3139</v>
      </c>
      <c r="E3446" s="2" t="s">
        <v>156</v>
      </c>
      <c r="F3446" s="3">
        <v>43528</v>
      </c>
      <c r="G3446" s="2" t="str">
        <f>"9781469649719"</f>
        <v>9781469649719</v>
      </c>
      <c r="H3446" s="2" t="s">
        <v>14</v>
      </c>
      <c r="I3446" s="4">
        <v>43806.500694444447</v>
      </c>
      <c r="J3446" s="2" t="s">
        <v>3142</v>
      </c>
    </row>
    <row r="3447" spans="1:10" ht="150" x14ac:dyDescent="0.25">
      <c r="A3447" s="2" t="s">
        <v>29</v>
      </c>
      <c r="B3447" s="2" t="s">
        <v>2414</v>
      </c>
      <c r="C3447" s="2" t="s">
        <v>2415</v>
      </c>
      <c r="D3447" s="2" t="s">
        <v>2413</v>
      </c>
      <c r="E3447" s="2" t="s">
        <v>69</v>
      </c>
      <c r="F3447" s="3">
        <v>43720</v>
      </c>
      <c r="G3447" s="2" t="str">
        <f>"9780253043405"</f>
        <v>9780253043405</v>
      </c>
      <c r="H3447" s="2" t="s">
        <v>14</v>
      </c>
      <c r="I3447" s="4">
        <v>43886.673611111109</v>
      </c>
      <c r="J3447" s="2" t="s">
        <v>2416</v>
      </c>
    </row>
    <row r="3448" spans="1:10" ht="135" x14ac:dyDescent="0.25">
      <c r="A3448" s="2" t="s">
        <v>29</v>
      </c>
      <c r="B3448" s="2">
        <v>301.08199999999999</v>
      </c>
      <c r="C3448" s="2" t="s">
        <v>7734</v>
      </c>
      <c r="D3448" s="2" t="s">
        <v>7733</v>
      </c>
      <c r="E3448" s="2" t="s">
        <v>328</v>
      </c>
      <c r="F3448" s="3">
        <v>41368</v>
      </c>
      <c r="G3448" s="2" t="str">
        <f>"9780739176375"</f>
        <v>9780739176375</v>
      </c>
      <c r="H3448" s="2" t="s">
        <v>14</v>
      </c>
      <c r="I3448" s="4">
        <v>43395.417361111111</v>
      </c>
      <c r="J3448" s="2" t="s">
        <v>7735</v>
      </c>
    </row>
    <row r="3449" spans="1:10" ht="135" x14ac:dyDescent="0.25">
      <c r="A3449" s="2" t="s">
        <v>29</v>
      </c>
      <c r="B3449" s="2">
        <v>305.42090000000002</v>
      </c>
      <c r="C3449" s="2" t="s">
        <v>1082</v>
      </c>
      <c r="D3449" s="2" t="s">
        <v>1081</v>
      </c>
      <c r="E3449" s="2" t="s">
        <v>37</v>
      </c>
      <c r="F3449" s="3">
        <v>43437</v>
      </c>
      <c r="G3449" s="2" t="str">
        <f>"9783319987378"</f>
        <v>9783319987378</v>
      </c>
      <c r="H3449" s="2" t="s">
        <v>14</v>
      </c>
      <c r="I3449" s="4">
        <v>43964.90347222222</v>
      </c>
      <c r="J3449" s="2" t="s">
        <v>1083</v>
      </c>
    </row>
    <row r="3450" spans="1:10" ht="135" x14ac:dyDescent="0.25">
      <c r="A3450" s="2" t="s">
        <v>29</v>
      </c>
      <c r="B3450" s="2">
        <v>362.40820000000002</v>
      </c>
      <c r="C3450" s="2" t="s">
        <v>7985</v>
      </c>
      <c r="D3450" s="2" t="s">
        <v>7984</v>
      </c>
      <c r="E3450" s="2" t="s">
        <v>69</v>
      </c>
      <c r="F3450" s="3">
        <v>39458</v>
      </c>
      <c r="G3450" s="2" t="str">
        <f>"9780253005182"</f>
        <v>9780253005182</v>
      </c>
      <c r="H3450" s="2" t="s">
        <v>14</v>
      </c>
      <c r="I3450" s="4">
        <v>43368.506249999999</v>
      </c>
      <c r="J3450" s="2" t="s">
        <v>7986</v>
      </c>
    </row>
    <row r="3451" spans="1:10" ht="135" x14ac:dyDescent="0.25">
      <c r="A3451" s="2" t="s">
        <v>29</v>
      </c>
      <c r="B3451" s="2" t="s">
        <v>1874</v>
      </c>
      <c r="C3451" s="2" t="s">
        <v>1875</v>
      </c>
      <c r="D3451" s="2" t="s">
        <v>1873</v>
      </c>
      <c r="E3451" s="2" t="s">
        <v>260</v>
      </c>
      <c r="F3451" s="3">
        <v>34858</v>
      </c>
      <c r="G3451" s="2" t="str">
        <f>"9781439905357"</f>
        <v>9781439905357</v>
      </c>
      <c r="H3451" s="2" t="s">
        <v>14</v>
      </c>
      <c r="I3451" s="4">
        <v>43923.527777777781</v>
      </c>
      <c r="J3451" s="2" t="s">
        <v>1876</v>
      </c>
    </row>
    <row r="3452" spans="1:10" ht="135" x14ac:dyDescent="0.25">
      <c r="A3452" s="2" t="s">
        <v>29</v>
      </c>
      <c r="B3452" s="2">
        <v>305.90800000000002</v>
      </c>
      <c r="C3452" s="2" t="s">
        <v>2331</v>
      </c>
      <c r="D3452" s="2" t="s">
        <v>2330</v>
      </c>
      <c r="E3452" s="2" t="s">
        <v>69</v>
      </c>
      <c r="F3452" s="3">
        <v>41410</v>
      </c>
      <c r="G3452" s="2" t="str">
        <f>"9780253009418"</f>
        <v>9780253009418</v>
      </c>
      <c r="H3452" s="2" t="s">
        <v>14</v>
      </c>
      <c r="I3452" s="4">
        <v>43893.495833333334</v>
      </c>
      <c r="J3452" s="2" t="s">
        <v>2332</v>
      </c>
    </row>
    <row r="3453" spans="1:10" ht="135" x14ac:dyDescent="0.25">
      <c r="A3453" s="2" t="s">
        <v>29</v>
      </c>
      <c r="B3453" s="2" t="s">
        <v>5962</v>
      </c>
      <c r="C3453" s="2" t="s">
        <v>5963</v>
      </c>
      <c r="D3453" s="2" t="s">
        <v>5961</v>
      </c>
      <c r="E3453" s="2" t="s">
        <v>578</v>
      </c>
      <c r="F3453" s="3">
        <v>38982</v>
      </c>
      <c r="G3453" s="2" t="str">
        <f>"9780252097478"</f>
        <v>9780252097478</v>
      </c>
      <c r="H3453" s="2" t="s">
        <v>14</v>
      </c>
      <c r="I3453" s="4">
        <v>43552.708333333336</v>
      </c>
      <c r="J3453" s="2" t="s">
        <v>5964</v>
      </c>
    </row>
    <row r="3454" spans="1:10" ht="165" x14ac:dyDescent="0.25">
      <c r="A3454" s="2" t="s">
        <v>29</v>
      </c>
      <c r="B3454" s="2">
        <v>398.20951000000002</v>
      </c>
      <c r="D3454" s="2" t="s">
        <v>1265</v>
      </c>
      <c r="E3454" s="2" t="s">
        <v>69</v>
      </c>
      <c r="F3454" s="3">
        <v>43872</v>
      </c>
      <c r="G3454" s="2" t="str">
        <f>"9780253046390"</f>
        <v>9780253046390</v>
      </c>
      <c r="H3454" s="2" t="s">
        <v>14</v>
      </c>
      <c r="I3454" s="4">
        <v>43952.479861111111</v>
      </c>
      <c r="J3454" s="2" t="s">
        <v>1266</v>
      </c>
    </row>
    <row r="3455" spans="1:10" ht="135" x14ac:dyDescent="0.25">
      <c r="A3455" s="2" t="s">
        <v>29</v>
      </c>
      <c r="B3455" s="2" t="s">
        <v>3584</v>
      </c>
      <c r="C3455" s="2" t="s">
        <v>11570</v>
      </c>
      <c r="D3455" s="2" t="s">
        <v>11569</v>
      </c>
      <c r="E3455" s="2" t="s">
        <v>89</v>
      </c>
      <c r="F3455" s="3">
        <v>41883</v>
      </c>
      <c r="G3455" s="2" t="str">
        <f>"9781782384045"</f>
        <v>9781782384045</v>
      </c>
      <c r="H3455" s="2" t="s">
        <v>14</v>
      </c>
      <c r="I3455" s="4">
        <v>42927.587500000001</v>
      </c>
      <c r="J3455" s="2" t="s">
        <v>11571</v>
      </c>
    </row>
    <row r="3456" spans="1:10" ht="135" x14ac:dyDescent="0.25">
      <c r="A3456" s="2" t="s">
        <v>29</v>
      </c>
      <c r="B3456" s="2" t="s">
        <v>10722</v>
      </c>
      <c r="C3456" s="2" t="s">
        <v>10723</v>
      </c>
      <c r="D3456" s="2" t="s">
        <v>10721</v>
      </c>
      <c r="E3456" s="2" t="s">
        <v>526</v>
      </c>
      <c r="F3456" s="3">
        <v>41973</v>
      </c>
      <c r="G3456" s="2" t="str">
        <f>"9780292761889"</f>
        <v>9780292761889</v>
      </c>
      <c r="H3456" s="2" t="s">
        <v>14</v>
      </c>
      <c r="I3456" s="4">
        <v>43039.435416666667</v>
      </c>
      <c r="J3456" s="2" t="s">
        <v>10724</v>
      </c>
    </row>
    <row r="3457" spans="1:10" ht="135" x14ac:dyDescent="0.25">
      <c r="A3457" s="2" t="s">
        <v>29</v>
      </c>
      <c r="B3457" s="2">
        <v>307.12160956924998</v>
      </c>
      <c r="C3457" s="2" t="s">
        <v>5066</v>
      </c>
      <c r="D3457" s="2" t="s">
        <v>5065</v>
      </c>
      <c r="E3457" s="2" t="s">
        <v>54</v>
      </c>
      <c r="F3457" s="3">
        <v>43347</v>
      </c>
      <c r="G3457" s="2" t="str">
        <f>"9781503605619"</f>
        <v>9781503605619</v>
      </c>
      <c r="H3457" s="2" t="s">
        <v>14</v>
      </c>
      <c r="I3457" s="4">
        <v>43611.69027777778</v>
      </c>
      <c r="J3457" s="2" t="s">
        <v>5067</v>
      </c>
    </row>
    <row r="3458" spans="1:10" ht="150" x14ac:dyDescent="0.25">
      <c r="A3458" s="2" t="s">
        <v>29</v>
      </c>
      <c r="B3458" s="2" t="s">
        <v>9628</v>
      </c>
      <c r="C3458" s="2" t="s">
        <v>5448</v>
      </c>
      <c r="D3458" s="2" t="s">
        <v>9627</v>
      </c>
      <c r="E3458" s="2" t="s">
        <v>856</v>
      </c>
      <c r="F3458" s="3">
        <v>42278</v>
      </c>
      <c r="G3458" s="2" t="str">
        <f>"9780295806235"</f>
        <v>9780295806235</v>
      </c>
      <c r="H3458" s="2" t="s">
        <v>14</v>
      </c>
      <c r="I3458" s="4">
        <v>43144.52847222222</v>
      </c>
      <c r="J3458" s="2" t="s">
        <v>9629</v>
      </c>
    </row>
    <row r="3459" spans="1:10" ht="135" x14ac:dyDescent="0.25">
      <c r="A3459" s="2" t="s">
        <v>29</v>
      </c>
      <c r="B3459" s="2" t="s">
        <v>4198</v>
      </c>
      <c r="C3459" s="2" t="s">
        <v>4199</v>
      </c>
      <c r="D3459" s="2" t="s">
        <v>4197</v>
      </c>
      <c r="E3459" s="2" t="s">
        <v>578</v>
      </c>
      <c r="F3459" s="3">
        <v>42156</v>
      </c>
      <c r="G3459" s="2" t="str">
        <f>"9780252097294"</f>
        <v>9780252097294</v>
      </c>
      <c r="H3459" s="2" t="s">
        <v>14</v>
      </c>
      <c r="I3459" s="4">
        <v>43696.487500000003</v>
      </c>
      <c r="J3459" s="2" t="s">
        <v>4200</v>
      </c>
    </row>
    <row r="3460" spans="1:10" ht="135" x14ac:dyDescent="0.25">
      <c r="A3460" s="2" t="s">
        <v>29</v>
      </c>
      <c r="B3460" s="2">
        <v>301</v>
      </c>
      <c r="C3460" s="2" t="s">
        <v>47</v>
      </c>
      <c r="D3460" s="2" t="s">
        <v>45</v>
      </c>
      <c r="E3460" s="2" t="s">
        <v>46</v>
      </c>
      <c r="F3460" s="3">
        <v>43770</v>
      </c>
      <c r="G3460" s="2" t="str">
        <f>"9781496217455"</f>
        <v>9781496217455</v>
      </c>
      <c r="H3460" s="2" t="s">
        <v>14</v>
      </c>
      <c r="I3460" s="4">
        <v>44074.679166666669</v>
      </c>
      <c r="J3460" s="2" t="s">
        <v>48</v>
      </c>
    </row>
    <row r="3461" spans="1:10" ht="135" x14ac:dyDescent="0.25">
      <c r="A3461" s="2" t="s">
        <v>29</v>
      </c>
      <c r="B3461" s="2" t="s">
        <v>11701</v>
      </c>
      <c r="C3461" s="2" t="s">
        <v>11702</v>
      </c>
      <c r="D3461" s="2" t="s">
        <v>11700</v>
      </c>
      <c r="E3461" s="2" t="s">
        <v>69</v>
      </c>
      <c r="F3461" s="3">
        <v>42223</v>
      </c>
      <c r="G3461" s="2" t="str">
        <f>"9780253017055"</f>
        <v>9780253017055</v>
      </c>
      <c r="H3461" s="2" t="s">
        <v>14</v>
      </c>
      <c r="I3461" s="4">
        <v>42912.563888888886</v>
      </c>
      <c r="J3461" s="2" t="s">
        <v>11703</v>
      </c>
    </row>
    <row r="3462" spans="1:10" ht="210" x14ac:dyDescent="0.25">
      <c r="A3462" s="2" t="s">
        <v>29</v>
      </c>
      <c r="B3462" s="2" t="s">
        <v>3153</v>
      </c>
      <c r="C3462" s="2" t="s">
        <v>3154</v>
      </c>
      <c r="D3462" s="2" t="s">
        <v>3152</v>
      </c>
      <c r="E3462" s="2" t="s">
        <v>54</v>
      </c>
      <c r="F3462" s="3">
        <v>41640</v>
      </c>
      <c r="G3462" s="2" t="str">
        <f>"9780804789066"</f>
        <v>9780804789066</v>
      </c>
      <c r="H3462" s="2" t="s">
        <v>14</v>
      </c>
      <c r="I3462" s="4">
        <v>43803.413194444445</v>
      </c>
      <c r="J3462" s="2" t="s">
        <v>3155</v>
      </c>
    </row>
    <row r="3463" spans="1:10" ht="135" x14ac:dyDescent="0.25">
      <c r="A3463" s="2" t="s">
        <v>29</v>
      </c>
      <c r="B3463" s="2">
        <v>393.93096887000002</v>
      </c>
      <c r="D3463" s="2" t="s">
        <v>5233</v>
      </c>
      <c r="E3463" s="2" t="s">
        <v>69</v>
      </c>
      <c r="F3463" s="3">
        <v>43255</v>
      </c>
      <c r="G3463" s="2" t="str">
        <f>"9780253036469"</f>
        <v>9780253036469</v>
      </c>
      <c r="H3463" s="2" t="s">
        <v>14</v>
      </c>
      <c r="I3463" s="4">
        <v>43607.734027777777</v>
      </c>
      <c r="J3463" s="2" t="s">
        <v>5234</v>
      </c>
    </row>
    <row r="3464" spans="1:10" ht="135" x14ac:dyDescent="0.25">
      <c r="A3464" s="2" t="s">
        <v>29</v>
      </c>
      <c r="B3464" s="2">
        <v>305.42</v>
      </c>
      <c r="C3464" s="2" t="s">
        <v>666</v>
      </c>
      <c r="D3464" s="2" t="s">
        <v>664</v>
      </c>
      <c r="E3464" s="2" t="s">
        <v>665</v>
      </c>
      <c r="F3464" s="3">
        <v>43789</v>
      </c>
      <c r="G3464" s="2" t="str">
        <f>"9781786805652"</f>
        <v>9781786805652</v>
      </c>
      <c r="H3464" s="2" t="s">
        <v>14</v>
      </c>
      <c r="I3464" s="4">
        <v>44001.714583333334</v>
      </c>
      <c r="J3464" s="2" t="s">
        <v>667</v>
      </c>
    </row>
    <row r="3465" spans="1:10" ht="135" x14ac:dyDescent="0.25">
      <c r="A3465" s="2" t="s">
        <v>29</v>
      </c>
      <c r="B3465" s="2">
        <v>307.76</v>
      </c>
      <c r="C3465" s="2" t="s">
        <v>787</v>
      </c>
      <c r="D3465" s="2" t="s">
        <v>785</v>
      </c>
      <c r="E3465" s="2" t="s">
        <v>786</v>
      </c>
      <c r="F3465" s="3">
        <v>41091</v>
      </c>
      <c r="G3465" s="2" t="str">
        <f>"9789971696221"</f>
        <v>9789971696221</v>
      </c>
      <c r="H3465" s="2" t="s">
        <v>14</v>
      </c>
      <c r="I3465" s="4">
        <v>43987.165972222225</v>
      </c>
      <c r="J3465" s="2" t="s">
        <v>788</v>
      </c>
    </row>
    <row r="3466" spans="1:10" ht="135" x14ac:dyDescent="0.25">
      <c r="A3466" s="2" t="s">
        <v>29</v>
      </c>
      <c r="B3466" s="2" t="s">
        <v>12986</v>
      </c>
      <c r="C3466" s="2" t="s">
        <v>12987</v>
      </c>
      <c r="D3466" s="2" t="s">
        <v>12985</v>
      </c>
      <c r="E3466" s="2" t="s">
        <v>674</v>
      </c>
      <c r="F3466" s="3">
        <v>42156</v>
      </c>
      <c r="G3466" s="2" t="str">
        <f>"9780823266074"</f>
        <v>9780823266074</v>
      </c>
      <c r="H3466" s="2" t="s">
        <v>14</v>
      </c>
      <c r="I3466" s="4">
        <v>42748.519444444442</v>
      </c>
      <c r="J3466" s="2" t="s">
        <v>12988</v>
      </c>
    </row>
    <row r="3467" spans="1:10" ht="135" x14ac:dyDescent="0.25">
      <c r="A3467" s="2" t="s">
        <v>29</v>
      </c>
      <c r="B3467" s="2">
        <v>304.420951</v>
      </c>
      <c r="C3467" s="2" t="s">
        <v>6252</v>
      </c>
      <c r="D3467" s="2" t="s">
        <v>6251</v>
      </c>
      <c r="E3467" s="2" t="s">
        <v>856</v>
      </c>
      <c r="F3467" s="3">
        <v>42156</v>
      </c>
      <c r="G3467" s="2" t="str">
        <f>"9780295806013"</f>
        <v>9780295806013</v>
      </c>
      <c r="H3467" s="2" t="s">
        <v>14</v>
      </c>
      <c r="I3467" s="4">
        <v>43529.559027777781</v>
      </c>
      <c r="J3467" s="2" t="s">
        <v>6253</v>
      </c>
    </row>
    <row r="3468" spans="1:10" ht="135" x14ac:dyDescent="0.25">
      <c r="A3468" s="2" t="s">
        <v>29</v>
      </c>
      <c r="B3468" s="2">
        <v>305.420952</v>
      </c>
      <c r="C3468" s="2" t="s">
        <v>12199</v>
      </c>
      <c r="D3468" s="2" t="s">
        <v>12198</v>
      </c>
      <c r="E3468" s="2" t="s">
        <v>284</v>
      </c>
      <c r="F3468" s="3">
        <v>41639</v>
      </c>
      <c r="G3468" s="2" t="str">
        <f>"9780824839192"</f>
        <v>9780824839192</v>
      </c>
      <c r="H3468" s="2" t="s">
        <v>14</v>
      </c>
      <c r="I3468" s="4">
        <v>42837.003472222219</v>
      </c>
      <c r="J3468" s="2" t="s">
        <v>12200</v>
      </c>
    </row>
    <row r="3469" spans="1:10" ht="135" x14ac:dyDescent="0.25">
      <c r="A3469" s="2" t="s">
        <v>29</v>
      </c>
      <c r="D3469" s="2" t="s">
        <v>6296</v>
      </c>
      <c r="E3469" s="2" t="s">
        <v>521</v>
      </c>
      <c r="F3469" s="3">
        <v>43419</v>
      </c>
      <c r="G3469" s="2" t="str">
        <f>"9789461662651"</f>
        <v>9789461662651</v>
      </c>
      <c r="H3469" s="2" t="s">
        <v>14</v>
      </c>
      <c r="I3469" s="4">
        <v>43526.515277777777</v>
      </c>
      <c r="J3469" s="2" t="s">
        <v>6297</v>
      </c>
    </row>
    <row r="3470" spans="1:10" ht="135" x14ac:dyDescent="0.25">
      <c r="A3470" s="2" t="s">
        <v>29</v>
      </c>
      <c r="B3470" s="2">
        <v>305.89608199999998</v>
      </c>
      <c r="C3470" s="2" t="s">
        <v>8332</v>
      </c>
      <c r="D3470" s="2" t="s">
        <v>8331</v>
      </c>
      <c r="E3470" s="2" t="s">
        <v>216</v>
      </c>
      <c r="F3470" s="3">
        <v>43282</v>
      </c>
      <c r="G3470" s="2" t="str">
        <f>"9781438470412"</f>
        <v>9781438470412</v>
      </c>
      <c r="H3470" s="2" t="s">
        <v>14</v>
      </c>
      <c r="I3470" s="4">
        <v>43320.6</v>
      </c>
      <c r="J3470" s="2" t="s">
        <v>8333</v>
      </c>
    </row>
    <row r="3471" spans="1:10" ht="135" x14ac:dyDescent="0.25">
      <c r="A3471" s="2" t="s">
        <v>29</v>
      </c>
      <c r="B3471" s="2">
        <v>305.42096199999997</v>
      </c>
      <c r="C3471" s="2" t="s">
        <v>695</v>
      </c>
      <c r="D3471" s="2" t="s">
        <v>693</v>
      </c>
      <c r="E3471" s="2" t="s">
        <v>694</v>
      </c>
      <c r="F3471" s="3">
        <v>43028</v>
      </c>
      <c r="G3471" s="2" t="str">
        <f>"9781617977848"</f>
        <v>9781617977848</v>
      </c>
      <c r="H3471" s="2" t="s">
        <v>14</v>
      </c>
      <c r="I3471" s="4">
        <v>43998.644444444442</v>
      </c>
      <c r="J3471" s="2" t="s">
        <v>696</v>
      </c>
    </row>
    <row r="3472" spans="1:10" ht="135" x14ac:dyDescent="0.25">
      <c r="A3472" s="2" t="s">
        <v>29</v>
      </c>
      <c r="B3472" s="2">
        <v>304.86799999999999</v>
      </c>
      <c r="C3472" s="2" t="s">
        <v>153</v>
      </c>
      <c r="D3472" s="2" t="s">
        <v>3514</v>
      </c>
      <c r="E3472" s="2" t="s">
        <v>37</v>
      </c>
      <c r="F3472" s="3">
        <v>42767</v>
      </c>
      <c r="G3472" s="2" t="str">
        <f>"9783319407333"</f>
        <v>9783319407333</v>
      </c>
      <c r="H3472" s="2" t="s">
        <v>14</v>
      </c>
      <c r="I3472" s="4">
        <v>43778.481944444444</v>
      </c>
      <c r="J3472" s="2" t="s">
        <v>3515</v>
      </c>
    </row>
    <row r="3473" spans="1:10" ht="135" x14ac:dyDescent="0.25">
      <c r="A3473" s="2" t="s">
        <v>29</v>
      </c>
      <c r="B3473" s="2">
        <v>364.15082000000001</v>
      </c>
      <c r="C3473" s="2" t="s">
        <v>7224</v>
      </c>
      <c r="D3473" s="2" t="s">
        <v>7223</v>
      </c>
      <c r="E3473" s="2" t="s">
        <v>235</v>
      </c>
      <c r="F3473" s="3">
        <v>42247</v>
      </c>
      <c r="G3473" s="2" t="str">
        <f>"9781440833182"</f>
        <v>9781440833182</v>
      </c>
      <c r="H3473" s="2" t="s">
        <v>14</v>
      </c>
      <c r="I3473" s="4">
        <v>43432.742361111108</v>
      </c>
      <c r="J3473" s="2" t="s">
        <v>7225</v>
      </c>
    </row>
    <row r="3474" spans="1:10" ht="135" x14ac:dyDescent="0.25">
      <c r="A3474" s="2" t="s">
        <v>29</v>
      </c>
      <c r="B3474" s="2">
        <v>307.76</v>
      </c>
      <c r="C3474" s="2" t="s">
        <v>5083</v>
      </c>
      <c r="D3474" s="2" t="s">
        <v>5082</v>
      </c>
      <c r="E3474" s="2" t="s">
        <v>268</v>
      </c>
      <c r="F3474" s="3">
        <v>42703</v>
      </c>
      <c r="G3474" s="2" t="str">
        <f>"9780815728924"</f>
        <v>9780815728924</v>
      </c>
      <c r="H3474" s="2" t="s">
        <v>14</v>
      </c>
      <c r="I3474" s="4">
        <v>43611.031944444447</v>
      </c>
      <c r="J3474" s="2" t="s">
        <v>5084</v>
      </c>
    </row>
    <row r="3475" spans="1:10" ht="135" x14ac:dyDescent="0.25">
      <c r="A3475" s="2" t="s">
        <v>29</v>
      </c>
      <c r="B3475" s="2" t="s">
        <v>12750</v>
      </c>
      <c r="C3475" s="2" t="s">
        <v>12751</v>
      </c>
      <c r="D3475" s="2" t="s">
        <v>12749</v>
      </c>
      <c r="E3475" s="2" t="s">
        <v>73</v>
      </c>
      <c r="F3475" s="3">
        <v>41852</v>
      </c>
      <c r="G3475" s="2" t="str">
        <f>"9781452941806"</f>
        <v>9781452941806</v>
      </c>
      <c r="H3475" s="2" t="s">
        <v>14</v>
      </c>
      <c r="I3475" s="4">
        <v>42777.587500000001</v>
      </c>
      <c r="J3475" s="2" t="s">
        <v>12752</v>
      </c>
    </row>
    <row r="3476" spans="1:10" ht="135" x14ac:dyDescent="0.25">
      <c r="A3476" s="2" t="s">
        <v>29</v>
      </c>
      <c r="B3476" s="2">
        <v>305</v>
      </c>
      <c r="C3476" s="2" t="s">
        <v>9315</v>
      </c>
      <c r="D3476" s="2" t="s">
        <v>9314</v>
      </c>
      <c r="E3476" s="2" t="s">
        <v>846</v>
      </c>
      <c r="F3476" s="3">
        <v>42510</v>
      </c>
      <c r="G3476" s="2" t="str">
        <f>"9781442634541"</f>
        <v>9781442634541</v>
      </c>
      <c r="H3476" s="2" t="s">
        <v>14</v>
      </c>
      <c r="I3476" s="4">
        <v>43186.488888888889</v>
      </c>
      <c r="J3476" s="2" t="s">
        <v>9316</v>
      </c>
    </row>
    <row r="3477" spans="1:10" ht="135" x14ac:dyDescent="0.25">
      <c r="A3477" s="2" t="s">
        <v>29</v>
      </c>
      <c r="B3477" s="2" t="s">
        <v>6708</v>
      </c>
      <c r="C3477" s="2" t="s">
        <v>6709</v>
      </c>
      <c r="D3477" s="2" t="s">
        <v>6707</v>
      </c>
      <c r="E3477" s="2" t="s">
        <v>578</v>
      </c>
      <c r="F3477" s="3">
        <v>42776</v>
      </c>
      <c r="G3477" s="2" t="str">
        <f>"9780252099304"</f>
        <v>9780252099304</v>
      </c>
      <c r="H3477" s="2" t="s">
        <v>14</v>
      </c>
      <c r="I3477" s="4">
        <v>43494.998611111114</v>
      </c>
      <c r="J3477" s="2" t="s">
        <v>6710</v>
      </c>
    </row>
    <row r="3478" spans="1:10" ht="135" x14ac:dyDescent="0.25">
      <c r="A3478" s="2" t="s">
        <v>29</v>
      </c>
      <c r="B3478" s="2">
        <v>306.74095599999998</v>
      </c>
      <c r="C3478" s="2" t="s">
        <v>8715</v>
      </c>
      <c r="D3478" s="2" t="s">
        <v>8714</v>
      </c>
      <c r="E3478" s="2" t="s">
        <v>216</v>
      </c>
      <c r="F3478" s="3">
        <v>42751</v>
      </c>
      <c r="G3478" s="2" t="str">
        <f>"9781438462622"</f>
        <v>9781438462622</v>
      </c>
      <c r="H3478" s="2" t="s">
        <v>14</v>
      </c>
      <c r="I3478" s="4">
        <v>43262.474999999999</v>
      </c>
      <c r="J3478" s="2" t="s">
        <v>8716</v>
      </c>
    </row>
    <row r="3479" spans="1:10" ht="135" x14ac:dyDescent="0.25">
      <c r="A3479" s="2" t="s">
        <v>29</v>
      </c>
      <c r="B3479" s="2" t="s">
        <v>10764</v>
      </c>
      <c r="C3479" s="2" t="s">
        <v>10765</v>
      </c>
      <c r="D3479" s="2" t="s">
        <v>10763</v>
      </c>
      <c r="E3479" s="2" t="s">
        <v>4660</v>
      </c>
      <c r="F3479" s="3">
        <v>36279</v>
      </c>
      <c r="G3479" s="2" t="str">
        <f>"9780813149912"</f>
        <v>9780813149912</v>
      </c>
      <c r="H3479" s="2" t="s">
        <v>14</v>
      </c>
      <c r="I3479" s="4">
        <v>43038.456944444442</v>
      </c>
      <c r="J3479" s="2" t="s">
        <v>10766</v>
      </c>
    </row>
    <row r="3480" spans="1:10" ht="150" x14ac:dyDescent="0.25">
      <c r="A3480" s="2" t="s">
        <v>29</v>
      </c>
      <c r="B3480" s="2">
        <v>306.76600000000002</v>
      </c>
      <c r="C3480" s="2" t="s">
        <v>349</v>
      </c>
      <c r="D3480" s="2" t="s">
        <v>348</v>
      </c>
      <c r="E3480" s="2" t="s">
        <v>50</v>
      </c>
      <c r="F3480" s="3">
        <v>43739</v>
      </c>
      <c r="G3480" s="2" t="str">
        <f>"9781496217448"</f>
        <v>9781496217448</v>
      </c>
      <c r="H3480" s="2" t="s">
        <v>14</v>
      </c>
      <c r="I3480" s="4">
        <v>44036.574999999997</v>
      </c>
      <c r="J3480" s="2" t="s">
        <v>350</v>
      </c>
    </row>
    <row r="3481" spans="1:10" ht="135" x14ac:dyDescent="0.25">
      <c r="A3481" s="2" t="s">
        <v>29</v>
      </c>
      <c r="B3481" s="2">
        <v>398.20940975000002</v>
      </c>
      <c r="C3481" s="2" t="s">
        <v>9434</v>
      </c>
      <c r="D3481" s="2" t="s">
        <v>9433</v>
      </c>
      <c r="E3481" s="2" t="s">
        <v>4660</v>
      </c>
      <c r="F3481" s="3">
        <v>41827</v>
      </c>
      <c r="G3481" s="2" t="str">
        <f>"9780813164175"</f>
        <v>9780813164175</v>
      </c>
      <c r="H3481" s="2" t="s">
        <v>14</v>
      </c>
      <c r="I3481" s="4">
        <v>43167.593055555553</v>
      </c>
      <c r="J3481" s="2" t="s">
        <v>9435</v>
      </c>
    </row>
    <row r="3482" spans="1:10" ht="135" x14ac:dyDescent="0.25">
      <c r="A3482" s="2" t="s">
        <v>29</v>
      </c>
      <c r="B3482" s="2">
        <v>363.33096690904</v>
      </c>
      <c r="C3482" s="2" t="s">
        <v>8722</v>
      </c>
      <c r="D3482" s="2" t="s">
        <v>8721</v>
      </c>
      <c r="E3482" s="2" t="s">
        <v>69</v>
      </c>
      <c r="F3482" s="3">
        <v>43106</v>
      </c>
      <c r="G3482" s="2" t="str">
        <f>"9780253031624"</f>
        <v>9780253031624</v>
      </c>
      <c r="H3482" s="2" t="s">
        <v>14</v>
      </c>
      <c r="I3482" s="4">
        <v>43261.913194444445</v>
      </c>
      <c r="J3482" s="2" t="s">
        <v>8723</v>
      </c>
    </row>
    <row r="3483" spans="1:10" ht="135" x14ac:dyDescent="0.25">
      <c r="A3483" s="2" t="s">
        <v>29</v>
      </c>
      <c r="B3483" s="2">
        <v>398</v>
      </c>
      <c r="C3483" s="2" t="s">
        <v>3312</v>
      </c>
      <c r="D3483" s="2" t="s">
        <v>3311</v>
      </c>
      <c r="E3483" s="2" t="s">
        <v>69</v>
      </c>
      <c r="F3483" s="3">
        <v>43560</v>
      </c>
      <c r="G3483" s="2" t="str">
        <f>"9780253040268"</f>
        <v>9780253040268</v>
      </c>
      <c r="H3483" s="2" t="s">
        <v>14</v>
      </c>
      <c r="I3483" s="4">
        <v>43790.69027777778</v>
      </c>
      <c r="J3483" s="2" t="s">
        <v>3313</v>
      </c>
    </row>
    <row r="3484" spans="1:10" ht="135" x14ac:dyDescent="0.25">
      <c r="A3484" s="2" t="s">
        <v>29</v>
      </c>
      <c r="D3484" s="2" t="s">
        <v>652</v>
      </c>
      <c r="E3484" s="2" t="s">
        <v>54</v>
      </c>
      <c r="F3484" s="3">
        <v>43879</v>
      </c>
      <c r="G3484" s="2" t="str">
        <f>"9781503611351"</f>
        <v>9781503611351</v>
      </c>
      <c r="H3484" s="2" t="s">
        <v>14</v>
      </c>
      <c r="I3484" s="4">
        <v>44003.479861111111</v>
      </c>
      <c r="J3484" s="2" t="s">
        <v>653</v>
      </c>
    </row>
    <row r="3485" spans="1:10" ht="135" x14ac:dyDescent="0.25">
      <c r="A3485" s="2" t="s">
        <v>29</v>
      </c>
      <c r="B3485" s="2">
        <v>306.46109497420002</v>
      </c>
      <c r="C3485" s="2" t="s">
        <v>9652</v>
      </c>
      <c r="D3485" s="2" t="s">
        <v>9651</v>
      </c>
      <c r="E3485" s="2" t="s">
        <v>69</v>
      </c>
      <c r="F3485" s="3">
        <v>42765</v>
      </c>
      <c r="G3485" s="2" t="str">
        <f>"9780253023858"</f>
        <v>9780253023858</v>
      </c>
      <c r="H3485" s="2" t="s">
        <v>14</v>
      </c>
      <c r="I3485" s="4">
        <v>43140.478472222225</v>
      </c>
      <c r="J3485" s="2" t="s">
        <v>9653</v>
      </c>
    </row>
    <row r="3486" spans="1:10" ht="135" x14ac:dyDescent="0.25">
      <c r="A3486" s="2" t="s">
        <v>29</v>
      </c>
      <c r="B3486" s="2">
        <v>302.2</v>
      </c>
      <c r="C3486" s="2" t="s">
        <v>6882</v>
      </c>
      <c r="D3486" s="2" t="s">
        <v>6881</v>
      </c>
      <c r="E3486" s="2" t="s">
        <v>130</v>
      </c>
      <c r="F3486" s="3">
        <v>43109</v>
      </c>
      <c r="G3486" s="2" t="str">
        <f>"9780813052113"</f>
        <v>9780813052113</v>
      </c>
      <c r="H3486" s="2" t="s">
        <v>14</v>
      </c>
      <c r="I3486" s="4">
        <v>43478.621527777781</v>
      </c>
      <c r="J3486" s="2" t="s">
        <v>6883</v>
      </c>
    </row>
    <row r="3487" spans="1:10" ht="135" x14ac:dyDescent="0.25">
      <c r="A3487" s="2" t="s">
        <v>29</v>
      </c>
      <c r="B3487" s="2">
        <v>306.76808349999999</v>
      </c>
      <c r="C3487" s="2" t="s">
        <v>6534</v>
      </c>
      <c r="D3487" s="2" t="s">
        <v>6533</v>
      </c>
      <c r="E3487" s="2" t="s">
        <v>73</v>
      </c>
      <c r="F3487" s="3">
        <v>43396</v>
      </c>
      <c r="G3487" s="2" t="str">
        <f>"9781452958149"</f>
        <v>9781452958149</v>
      </c>
      <c r="H3487" s="2" t="s">
        <v>14</v>
      </c>
      <c r="I3487" s="4">
        <v>43509.599305555559</v>
      </c>
      <c r="J3487" s="2" t="s">
        <v>6535</v>
      </c>
    </row>
    <row r="3488" spans="1:10" ht="135" x14ac:dyDescent="0.25">
      <c r="A3488" s="2" t="s">
        <v>29</v>
      </c>
      <c r="B3488" s="2">
        <v>306.87430972999999</v>
      </c>
      <c r="C3488" s="2" t="s">
        <v>2226</v>
      </c>
      <c r="D3488" s="2" t="s">
        <v>5137</v>
      </c>
      <c r="E3488" s="2" t="s">
        <v>578</v>
      </c>
      <c r="F3488" s="3">
        <v>43526</v>
      </c>
      <c r="G3488" s="2" t="str">
        <f>"9780252051197"</f>
        <v>9780252051197</v>
      </c>
      <c r="H3488" s="2" t="s">
        <v>14</v>
      </c>
      <c r="I3488" s="4">
        <v>43609.837500000001</v>
      </c>
      <c r="J3488" s="2" t="s">
        <v>5138</v>
      </c>
    </row>
    <row r="3489" spans="1:10" ht="135" x14ac:dyDescent="0.25">
      <c r="A3489" s="2" t="s">
        <v>29</v>
      </c>
      <c r="B3489" s="2" t="s">
        <v>8707</v>
      </c>
      <c r="C3489" s="2" t="s">
        <v>8708</v>
      </c>
      <c r="D3489" s="2" t="s">
        <v>8706</v>
      </c>
      <c r="E3489" s="2" t="s">
        <v>180</v>
      </c>
      <c r="F3489" s="3">
        <v>42579</v>
      </c>
      <c r="G3489" s="2" t="str">
        <f>"9781479834211"</f>
        <v>9781479834211</v>
      </c>
      <c r="H3489" s="2" t="s">
        <v>14</v>
      </c>
      <c r="I3489" s="4">
        <v>43263.449305555558</v>
      </c>
      <c r="J3489" s="2" t="s">
        <v>8709</v>
      </c>
    </row>
    <row r="3490" spans="1:10" ht="135" x14ac:dyDescent="0.25">
      <c r="A3490" s="2" t="s">
        <v>29</v>
      </c>
      <c r="B3490" s="2">
        <v>363.33097299999997</v>
      </c>
      <c r="C3490" s="2" t="s">
        <v>4315</v>
      </c>
      <c r="D3490" s="2" t="s">
        <v>4314</v>
      </c>
      <c r="E3490" s="2" t="s">
        <v>164</v>
      </c>
      <c r="F3490" s="3">
        <v>42856</v>
      </c>
      <c r="G3490" s="2" t="str">
        <f>"9780826358141"</f>
        <v>9780826358141</v>
      </c>
      <c r="H3490" s="2" t="s">
        <v>14</v>
      </c>
      <c r="I3490" s="4">
        <v>43683.597916666666</v>
      </c>
      <c r="J3490" s="2" t="s">
        <v>4316</v>
      </c>
    </row>
    <row r="3491" spans="1:10" ht="135" x14ac:dyDescent="0.25">
      <c r="A3491" s="2" t="s">
        <v>29</v>
      </c>
      <c r="D3491" s="2" t="s">
        <v>3075</v>
      </c>
      <c r="E3491" s="2" t="s">
        <v>164</v>
      </c>
      <c r="F3491" s="3">
        <v>43753</v>
      </c>
      <c r="G3491" s="2" t="str">
        <f>"9780826360861"</f>
        <v>9780826360861</v>
      </c>
      <c r="H3491" s="2" t="s">
        <v>14</v>
      </c>
      <c r="I3491" s="4">
        <v>43817.635416666664</v>
      </c>
      <c r="J3491" s="2" t="s">
        <v>3076</v>
      </c>
    </row>
    <row r="3492" spans="1:10" ht="135" x14ac:dyDescent="0.25">
      <c r="A3492" s="2" t="s">
        <v>29</v>
      </c>
      <c r="B3492" s="2">
        <v>398.20943842999998</v>
      </c>
      <c r="C3492" s="2" t="s">
        <v>6349</v>
      </c>
      <c r="D3492" s="2" t="s">
        <v>6348</v>
      </c>
      <c r="E3492" s="2" t="s">
        <v>180</v>
      </c>
      <c r="F3492" s="3">
        <v>42661</v>
      </c>
      <c r="G3492" s="2" t="str">
        <f>"9781479827497"</f>
        <v>9781479827497</v>
      </c>
      <c r="H3492" s="2" t="s">
        <v>14</v>
      </c>
      <c r="I3492" s="4">
        <v>43523.498611111114</v>
      </c>
      <c r="J3492" s="2" t="s">
        <v>6350</v>
      </c>
    </row>
    <row r="3493" spans="1:10" ht="135" x14ac:dyDescent="0.25">
      <c r="A3493" s="2" t="s">
        <v>29</v>
      </c>
      <c r="B3493" s="2">
        <v>398.2</v>
      </c>
      <c r="C3493" s="2" t="s">
        <v>8896</v>
      </c>
      <c r="D3493" s="2" t="s">
        <v>8895</v>
      </c>
      <c r="E3493" s="2" t="s">
        <v>69</v>
      </c>
      <c r="F3493" s="3">
        <v>42646</v>
      </c>
      <c r="G3493" s="2" t="str">
        <f>"9780253023384"</f>
        <v>9780253023384</v>
      </c>
      <c r="H3493" s="2" t="s">
        <v>14</v>
      </c>
      <c r="I3493" s="4">
        <v>43241.863194444442</v>
      </c>
      <c r="J3493" s="2" t="s">
        <v>8897</v>
      </c>
    </row>
    <row r="3494" spans="1:10" ht="135" x14ac:dyDescent="0.25">
      <c r="A3494" s="2" t="s">
        <v>29</v>
      </c>
      <c r="B3494" s="2">
        <v>305.42095399999999</v>
      </c>
      <c r="C3494" s="2" t="s">
        <v>2568</v>
      </c>
      <c r="D3494" s="2" t="s">
        <v>2567</v>
      </c>
      <c r="E3494" s="2" t="s">
        <v>578</v>
      </c>
      <c r="F3494" s="3">
        <v>43683</v>
      </c>
      <c r="G3494" s="2" t="str">
        <f>"9780252051418"</f>
        <v>9780252051418</v>
      </c>
      <c r="H3494" s="2" t="s">
        <v>14</v>
      </c>
      <c r="I3494" s="4">
        <v>43875.71597222222</v>
      </c>
      <c r="J3494" s="2" t="s">
        <v>2569</v>
      </c>
    </row>
    <row r="3495" spans="1:10" ht="135" x14ac:dyDescent="0.25">
      <c r="A3495" s="2" t="s">
        <v>29</v>
      </c>
      <c r="B3495" s="2">
        <v>305.55200000000002</v>
      </c>
      <c r="C3495" s="2" t="s">
        <v>628</v>
      </c>
      <c r="D3495" s="2" t="s">
        <v>626</v>
      </c>
      <c r="E3495" s="2" t="s">
        <v>627</v>
      </c>
      <c r="F3495" s="3">
        <v>43628</v>
      </c>
      <c r="G3495" s="2" t="str">
        <f>"9789633863046"</f>
        <v>9789633863046</v>
      </c>
      <c r="H3495" s="2" t="s">
        <v>14</v>
      </c>
      <c r="I3495" s="4">
        <v>44006.591666666667</v>
      </c>
      <c r="J3495" s="2" t="s">
        <v>629</v>
      </c>
    </row>
    <row r="3496" spans="1:10" ht="135" x14ac:dyDescent="0.25">
      <c r="A3496" s="2" t="s">
        <v>29</v>
      </c>
      <c r="B3496" s="2">
        <v>306.09539999999998</v>
      </c>
      <c r="C3496" s="2" t="s">
        <v>153</v>
      </c>
      <c r="D3496" s="2" t="s">
        <v>6580</v>
      </c>
      <c r="E3496" s="2" t="s">
        <v>37</v>
      </c>
      <c r="F3496" s="3">
        <v>42786</v>
      </c>
      <c r="G3496" s="2" t="str">
        <f>"9783319410159"</f>
        <v>9783319410159</v>
      </c>
      <c r="H3496" s="2" t="s">
        <v>14</v>
      </c>
      <c r="I3496" s="4">
        <v>43506.754166666666</v>
      </c>
      <c r="J3496" s="2" t="s">
        <v>6581</v>
      </c>
    </row>
    <row r="3497" spans="1:10" ht="135" x14ac:dyDescent="0.25">
      <c r="A3497" s="2" t="s">
        <v>29</v>
      </c>
      <c r="B3497" s="2">
        <v>303.60000000000002</v>
      </c>
      <c r="C3497" s="2" t="s">
        <v>9655</v>
      </c>
      <c r="D3497" s="2" t="s">
        <v>9654</v>
      </c>
      <c r="E3497" s="2" t="s">
        <v>69</v>
      </c>
      <c r="F3497" s="3">
        <v>42646</v>
      </c>
      <c r="G3497" s="2" t="str">
        <f>"9780253023261"</f>
        <v>9780253023261</v>
      </c>
      <c r="H3497" s="2" t="s">
        <v>14</v>
      </c>
      <c r="I3497" s="4">
        <v>43139.824999999997</v>
      </c>
      <c r="J3497" s="2" t="s">
        <v>9656</v>
      </c>
    </row>
    <row r="3498" spans="1:10" ht="135" x14ac:dyDescent="0.25">
      <c r="A3498" s="2" t="s">
        <v>29</v>
      </c>
      <c r="B3498" s="2" t="s">
        <v>11789</v>
      </c>
      <c r="C3498" s="2" t="s">
        <v>11790</v>
      </c>
      <c r="D3498" s="2" t="s">
        <v>11788</v>
      </c>
      <c r="E3498" s="2" t="s">
        <v>216</v>
      </c>
      <c r="F3498" s="3">
        <v>42522</v>
      </c>
      <c r="G3498" s="2" t="str">
        <f>"9781438460673"</f>
        <v>9781438460673</v>
      </c>
      <c r="H3498" s="2" t="s">
        <v>14</v>
      </c>
      <c r="I3498" s="4">
        <v>42890.426388888889</v>
      </c>
      <c r="J3498" s="2" t="s">
        <v>11791</v>
      </c>
    </row>
    <row r="3499" spans="1:10" ht="135" x14ac:dyDescent="0.25">
      <c r="A3499" s="2" t="s">
        <v>29</v>
      </c>
      <c r="D3499" s="2" t="s">
        <v>7247</v>
      </c>
      <c r="E3499" s="2" t="s">
        <v>723</v>
      </c>
      <c r="F3499" s="3">
        <v>43327</v>
      </c>
      <c r="G3499" s="2" t="str">
        <f>"9781612495453"</f>
        <v>9781612495453</v>
      </c>
      <c r="H3499" s="2" t="s">
        <v>14</v>
      </c>
      <c r="I3499" s="4">
        <v>43431.457638888889</v>
      </c>
      <c r="J3499" s="2" t="s">
        <v>7248</v>
      </c>
    </row>
    <row r="3500" spans="1:10" ht="135" x14ac:dyDescent="0.25">
      <c r="A3500" s="2" t="s">
        <v>29</v>
      </c>
      <c r="B3500" s="2">
        <v>305.90809539999998</v>
      </c>
      <c r="C3500" s="2" t="s">
        <v>153</v>
      </c>
      <c r="D3500" s="2" t="s">
        <v>6716</v>
      </c>
      <c r="E3500" s="2" t="s">
        <v>6717</v>
      </c>
      <c r="F3500" s="3">
        <v>42634</v>
      </c>
      <c r="G3500" s="2" t="str">
        <f>"9788132235958"</f>
        <v>9788132235958</v>
      </c>
      <c r="H3500" s="2" t="s">
        <v>14</v>
      </c>
      <c r="I3500" s="4">
        <v>43494.408333333333</v>
      </c>
      <c r="J3500" s="2" t="s">
        <v>6718</v>
      </c>
    </row>
    <row r="3501" spans="1:10" ht="135" x14ac:dyDescent="0.25">
      <c r="A3501" s="2" t="s">
        <v>29</v>
      </c>
      <c r="B3501" s="2" t="s">
        <v>6428</v>
      </c>
      <c r="C3501" s="2" t="s">
        <v>6429</v>
      </c>
      <c r="D3501" s="2" t="s">
        <v>6427</v>
      </c>
      <c r="E3501" s="2" t="s">
        <v>216</v>
      </c>
      <c r="F3501" s="3">
        <v>43040</v>
      </c>
      <c r="G3501" s="2" t="str">
        <f>"9781438467566"</f>
        <v>9781438467566</v>
      </c>
      <c r="H3501" s="2" t="s">
        <v>14</v>
      </c>
      <c r="I3501" s="4">
        <v>43518.499305555553</v>
      </c>
      <c r="J3501" s="2" t="s">
        <v>6430</v>
      </c>
    </row>
    <row r="3502" spans="1:10" ht="135" x14ac:dyDescent="0.25">
      <c r="A3502" s="2" t="s">
        <v>29</v>
      </c>
      <c r="B3502" s="2">
        <v>306.36200000000002</v>
      </c>
      <c r="C3502" s="2" t="s">
        <v>7741</v>
      </c>
      <c r="D3502" s="2" t="s">
        <v>7740</v>
      </c>
      <c r="E3502" s="2" t="s">
        <v>2191</v>
      </c>
      <c r="F3502" s="3">
        <v>43009</v>
      </c>
      <c r="G3502" s="2" t="str">
        <f>"9780817921064"</f>
        <v>9780817921064</v>
      </c>
      <c r="H3502" s="2" t="s">
        <v>14</v>
      </c>
      <c r="I3502" s="4">
        <v>43395.369444444441</v>
      </c>
      <c r="J3502" s="2" t="s">
        <v>7742</v>
      </c>
    </row>
    <row r="3503" spans="1:10" ht="135" x14ac:dyDescent="0.25">
      <c r="A3503" s="2" t="s">
        <v>29</v>
      </c>
      <c r="B3503" s="2">
        <v>305.80094170000001</v>
      </c>
      <c r="C3503" s="2" t="s">
        <v>8244</v>
      </c>
      <c r="D3503" s="2" t="s">
        <v>8243</v>
      </c>
      <c r="E3503" s="2" t="s">
        <v>390</v>
      </c>
      <c r="F3503" s="3">
        <v>43038</v>
      </c>
      <c r="G3503" s="2" t="str">
        <f>"9780268102395"</f>
        <v>9780268102395</v>
      </c>
      <c r="H3503" s="2" t="s">
        <v>14</v>
      </c>
      <c r="I3503" s="4">
        <v>43332.564583333333</v>
      </c>
      <c r="J3503" s="2" t="s">
        <v>8245</v>
      </c>
    </row>
    <row r="3504" spans="1:10" ht="135" x14ac:dyDescent="0.25">
      <c r="A3504" s="2" t="s">
        <v>29</v>
      </c>
      <c r="B3504" s="2">
        <v>363.3250956</v>
      </c>
      <c r="C3504" s="2" t="s">
        <v>12166</v>
      </c>
      <c r="D3504" s="2" t="s">
        <v>12165</v>
      </c>
      <c r="E3504" s="2" t="s">
        <v>705</v>
      </c>
      <c r="F3504" s="3">
        <v>42464</v>
      </c>
      <c r="G3504" s="2" t="str">
        <f>"9781400880362"</f>
        <v>9781400880362</v>
      </c>
      <c r="H3504" s="2" t="s">
        <v>14</v>
      </c>
      <c r="I3504" s="4">
        <v>42841.336805555555</v>
      </c>
      <c r="J3504" s="2" t="s">
        <v>12167</v>
      </c>
    </row>
    <row r="3505" spans="1:10" ht="135" x14ac:dyDescent="0.25">
      <c r="A3505" s="2" t="s">
        <v>29</v>
      </c>
      <c r="B3505" s="2">
        <v>305.48696999999999</v>
      </c>
      <c r="C3505" s="2" t="s">
        <v>153</v>
      </c>
      <c r="D3505" s="2" t="s">
        <v>10033</v>
      </c>
      <c r="E3505" s="2" t="s">
        <v>37</v>
      </c>
      <c r="F3505" s="3">
        <v>42670</v>
      </c>
      <c r="G3505" s="2" t="str">
        <f>"9783319326801"</f>
        <v>9783319326801</v>
      </c>
      <c r="H3505" s="2" t="s">
        <v>14</v>
      </c>
      <c r="I3505" s="4">
        <v>43109.711805555555</v>
      </c>
      <c r="J3505" s="2" t="s">
        <v>10034</v>
      </c>
    </row>
    <row r="3506" spans="1:10" ht="165" x14ac:dyDescent="0.25">
      <c r="A3506" s="2" t="s">
        <v>29</v>
      </c>
      <c r="B3506" s="2">
        <v>306.09569399999998</v>
      </c>
      <c r="C3506" s="2" t="s">
        <v>8234</v>
      </c>
      <c r="D3506" s="2" t="s">
        <v>8232</v>
      </c>
      <c r="E3506" s="2" t="s">
        <v>8233</v>
      </c>
      <c r="F3506" s="3">
        <v>42146</v>
      </c>
      <c r="G3506" s="2" t="str">
        <f>"9781611687484"</f>
        <v>9781611687484</v>
      </c>
      <c r="H3506" s="2" t="s">
        <v>14</v>
      </c>
      <c r="I3506" s="4">
        <v>43333.51458333333</v>
      </c>
      <c r="J3506" s="2" t="s">
        <v>8235</v>
      </c>
    </row>
    <row r="3507" spans="1:10" ht="135" x14ac:dyDescent="0.25">
      <c r="A3507" s="2" t="s">
        <v>29</v>
      </c>
      <c r="B3507" s="2">
        <v>305.48696999999999</v>
      </c>
      <c r="C3507" s="2" t="s">
        <v>9935</v>
      </c>
      <c r="D3507" s="2" t="s">
        <v>9934</v>
      </c>
      <c r="E3507" s="2" t="s">
        <v>310</v>
      </c>
      <c r="F3507" s="3">
        <v>41605</v>
      </c>
      <c r="G3507" s="2" t="str">
        <f>"9780815652373"</f>
        <v>9780815652373</v>
      </c>
      <c r="H3507" s="2" t="s">
        <v>14</v>
      </c>
      <c r="I3507" s="4">
        <v>43118.081944444442</v>
      </c>
      <c r="J3507" s="2" t="s">
        <v>9936</v>
      </c>
    </row>
    <row r="3508" spans="1:10" ht="135" x14ac:dyDescent="0.25">
      <c r="A3508" s="2" t="s">
        <v>29</v>
      </c>
      <c r="B3508" s="2">
        <v>306.74209520973</v>
      </c>
      <c r="C3508" s="2" t="s">
        <v>7009</v>
      </c>
      <c r="D3508" s="2" t="s">
        <v>7008</v>
      </c>
      <c r="E3508" s="2" t="s">
        <v>856</v>
      </c>
      <c r="F3508" s="3">
        <v>42607</v>
      </c>
      <c r="G3508" s="2" t="str">
        <f>"9780295806686"</f>
        <v>9780295806686</v>
      </c>
      <c r="H3508" s="2" t="s">
        <v>14</v>
      </c>
      <c r="I3508" s="4">
        <v>43465.554861111108</v>
      </c>
      <c r="J3508" s="2" t="s">
        <v>7010</v>
      </c>
    </row>
    <row r="3509" spans="1:10" ht="135" x14ac:dyDescent="0.25">
      <c r="A3509" s="2" t="s">
        <v>29</v>
      </c>
      <c r="B3509" s="2">
        <v>363.32509440000001</v>
      </c>
      <c r="C3509" s="2" t="s">
        <v>1891</v>
      </c>
      <c r="D3509" s="2" t="s">
        <v>1889</v>
      </c>
      <c r="E3509" s="2" t="s">
        <v>1890</v>
      </c>
      <c r="F3509" s="3">
        <v>42831</v>
      </c>
      <c r="G3509" s="2" t="str">
        <f>"9781787380547"</f>
        <v>9781787380547</v>
      </c>
      <c r="H3509" s="2" t="s">
        <v>14</v>
      </c>
      <c r="I3509" s="4">
        <v>43923.365277777775</v>
      </c>
      <c r="J3509" s="2" t="s">
        <v>1892</v>
      </c>
    </row>
    <row r="3510" spans="1:10" ht="135" x14ac:dyDescent="0.25">
      <c r="A3510" s="2" t="s">
        <v>29</v>
      </c>
      <c r="B3510" s="2">
        <v>306.09624000000002</v>
      </c>
      <c r="C3510" s="2" t="s">
        <v>292</v>
      </c>
      <c r="D3510" s="2" t="s">
        <v>291</v>
      </c>
      <c r="E3510" s="2" t="s">
        <v>121</v>
      </c>
      <c r="F3510" s="3">
        <v>33664</v>
      </c>
      <c r="G3510" s="2" t="str">
        <f>"9781609175672"</f>
        <v>9781609175672</v>
      </c>
      <c r="H3510" s="2" t="s">
        <v>14</v>
      </c>
      <c r="I3510" s="4">
        <v>44045.518750000003</v>
      </c>
      <c r="J3510" s="2" t="s">
        <v>293</v>
      </c>
    </row>
    <row r="3511" spans="1:10" ht="135" x14ac:dyDescent="0.25">
      <c r="A3511" s="2" t="s">
        <v>29</v>
      </c>
      <c r="B3511" s="2" t="s">
        <v>3238</v>
      </c>
      <c r="C3511" s="2" t="s">
        <v>10436</v>
      </c>
      <c r="D3511" s="2" t="s">
        <v>10434</v>
      </c>
      <c r="E3511" s="2" t="s">
        <v>10435</v>
      </c>
      <c r="F3511" s="3">
        <v>41978</v>
      </c>
      <c r="G3511" s="2" t="str">
        <f>"9781583674659"</f>
        <v>9781583674659</v>
      </c>
      <c r="H3511" s="2" t="s">
        <v>14</v>
      </c>
      <c r="I3511" s="4">
        <v>43058.338888888888</v>
      </c>
      <c r="J3511" s="2" t="s">
        <v>10437</v>
      </c>
    </row>
    <row r="3512" spans="1:10" ht="135" x14ac:dyDescent="0.25">
      <c r="A3512" s="2" t="s">
        <v>29</v>
      </c>
      <c r="B3512" s="2" t="s">
        <v>8425</v>
      </c>
      <c r="C3512" s="2" t="s">
        <v>8426</v>
      </c>
      <c r="D3512" s="2" t="s">
        <v>8424</v>
      </c>
      <c r="E3512" s="2" t="s">
        <v>73</v>
      </c>
      <c r="F3512" s="3">
        <v>42124</v>
      </c>
      <c r="G3512" s="2" t="str">
        <f>"9781452943886"</f>
        <v>9781452943886</v>
      </c>
      <c r="H3512" s="2" t="s">
        <v>14</v>
      </c>
      <c r="I3512" s="4">
        <v>43308.87222222222</v>
      </c>
      <c r="J3512" s="2" t="s">
        <v>8427</v>
      </c>
    </row>
    <row r="3513" spans="1:10" ht="135" x14ac:dyDescent="0.25">
      <c r="A3513" s="2" t="s">
        <v>29</v>
      </c>
      <c r="B3513" s="2">
        <v>306.84709550000002</v>
      </c>
      <c r="C3513" s="2" t="s">
        <v>9511</v>
      </c>
      <c r="D3513" s="2" t="s">
        <v>9510</v>
      </c>
      <c r="E3513" s="2" t="s">
        <v>310</v>
      </c>
      <c r="F3513" s="3">
        <v>41933</v>
      </c>
      <c r="G3513" s="2" t="str">
        <f>"9780815652946"</f>
        <v>9780815652946</v>
      </c>
      <c r="H3513" s="2" t="s">
        <v>14</v>
      </c>
      <c r="I3513" s="4">
        <v>43159.788888888892</v>
      </c>
      <c r="J3513" s="2" t="s">
        <v>9512</v>
      </c>
    </row>
    <row r="3514" spans="1:10" ht="135" x14ac:dyDescent="0.25">
      <c r="A3514" s="2" t="s">
        <v>29</v>
      </c>
      <c r="B3514" s="2">
        <v>363.32515999999998</v>
      </c>
      <c r="C3514" s="2" t="s">
        <v>2518</v>
      </c>
      <c r="D3514" s="2" t="s">
        <v>2517</v>
      </c>
      <c r="E3514" s="2" t="s">
        <v>54</v>
      </c>
      <c r="F3514" s="3">
        <v>43781</v>
      </c>
      <c r="G3514" s="2" t="str">
        <f>"9781503610675"</f>
        <v>9781503610675</v>
      </c>
      <c r="H3514" s="2" t="s">
        <v>14</v>
      </c>
      <c r="I3514" s="4">
        <v>43880.20208333333</v>
      </c>
      <c r="J3514" s="2" t="s">
        <v>2519</v>
      </c>
    </row>
    <row r="3515" spans="1:10" ht="135" x14ac:dyDescent="0.25">
      <c r="A3515" s="2" t="s">
        <v>29</v>
      </c>
      <c r="B3515" s="2" t="s">
        <v>9749</v>
      </c>
      <c r="C3515" s="2" t="s">
        <v>9750</v>
      </c>
      <c r="D3515" s="2" t="s">
        <v>9748</v>
      </c>
      <c r="E3515" s="2" t="s">
        <v>180</v>
      </c>
      <c r="F3515" s="3">
        <v>42356</v>
      </c>
      <c r="G3515" s="2" t="str">
        <f>"9781479879656"</f>
        <v>9781479879656</v>
      </c>
      <c r="H3515" s="2" t="s">
        <v>14</v>
      </c>
      <c r="I3515" s="4">
        <v>43132.643055555556</v>
      </c>
      <c r="J3515" s="2" t="s">
        <v>9751</v>
      </c>
    </row>
    <row r="3516" spans="1:10" ht="135" x14ac:dyDescent="0.25">
      <c r="A3516" s="2" t="s">
        <v>29</v>
      </c>
      <c r="B3516" s="2">
        <v>364.66097559999997</v>
      </c>
      <c r="C3516" s="2" t="s">
        <v>4622</v>
      </c>
      <c r="D3516" s="2" t="s">
        <v>4621</v>
      </c>
      <c r="E3516" s="2" t="s">
        <v>156</v>
      </c>
      <c r="F3516" s="3">
        <v>43521</v>
      </c>
      <c r="G3516" s="2" t="str">
        <f>"9781469649894"</f>
        <v>9781469649894</v>
      </c>
      <c r="H3516" s="2" t="s">
        <v>14</v>
      </c>
      <c r="I3516" s="4">
        <v>43644.74722222222</v>
      </c>
      <c r="J3516" s="2" t="s">
        <v>4623</v>
      </c>
    </row>
    <row r="3517" spans="1:10" ht="135" x14ac:dyDescent="0.25">
      <c r="A3517" s="2" t="s">
        <v>29</v>
      </c>
      <c r="B3517" s="2">
        <v>306</v>
      </c>
      <c r="C3517" s="2" t="s">
        <v>10213</v>
      </c>
      <c r="D3517" s="2" t="s">
        <v>10212</v>
      </c>
      <c r="E3517" s="2" t="s">
        <v>80</v>
      </c>
      <c r="F3517" s="3">
        <v>42458</v>
      </c>
      <c r="G3517" s="2" t="str">
        <f>"9783653049589"</f>
        <v>9783653049589</v>
      </c>
      <c r="H3517" s="2" t="s">
        <v>14</v>
      </c>
      <c r="I3517" s="4">
        <v>43082.563888888886</v>
      </c>
      <c r="J3517" s="2" t="s">
        <v>10214</v>
      </c>
    </row>
    <row r="3518" spans="1:10" ht="180" x14ac:dyDescent="0.25">
      <c r="A3518" s="2" t="s">
        <v>29</v>
      </c>
      <c r="B3518" s="2">
        <v>306.81530951949998</v>
      </c>
      <c r="C3518" s="2" t="s">
        <v>10700</v>
      </c>
      <c r="D3518" s="2" t="s">
        <v>10699</v>
      </c>
      <c r="E3518" s="2" t="s">
        <v>216</v>
      </c>
      <c r="F3518" s="3">
        <v>41730</v>
      </c>
      <c r="G3518" s="2" t="str">
        <f>"9781438450148"</f>
        <v>9781438450148</v>
      </c>
      <c r="H3518" s="2" t="s">
        <v>14</v>
      </c>
      <c r="I3518" s="4">
        <v>43041.579861111109</v>
      </c>
      <c r="J3518" s="2" t="s">
        <v>10701</v>
      </c>
    </row>
    <row r="3519" spans="1:10" ht="135" x14ac:dyDescent="0.25">
      <c r="A3519" s="2" t="s">
        <v>29</v>
      </c>
      <c r="B3519" s="2" t="s">
        <v>7389</v>
      </c>
      <c r="C3519" s="2" t="s">
        <v>7390</v>
      </c>
      <c r="D3519" s="2" t="s">
        <v>7388</v>
      </c>
      <c r="E3519" s="2" t="s">
        <v>156</v>
      </c>
      <c r="F3519" s="3">
        <v>39903</v>
      </c>
      <c r="G3519" s="2" t="str">
        <f>"9781469605920"</f>
        <v>9781469605920</v>
      </c>
      <c r="H3519" s="2" t="s">
        <v>14</v>
      </c>
      <c r="I3519" s="4">
        <v>43420.299305555556</v>
      </c>
      <c r="J3519" s="2" t="s">
        <v>7391</v>
      </c>
    </row>
    <row r="3520" spans="1:10" ht="135" x14ac:dyDescent="0.25">
      <c r="A3520" s="2" t="s">
        <v>29</v>
      </c>
      <c r="B3520" s="2">
        <v>305.8</v>
      </c>
      <c r="C3520" s="2" t="s">
        <v>1638</v>
      </c>
      <c r="D3520" s="2" t="s">
        <v>1637</v>
      </c>
      <c r="E3520" s="2" t="s">
        <v>216</v>
      </c>
      <c r="F3520" s="3">
        <v>42580</v>
      </c>
      <c r="G3520" s="2" t="str">
        <f>"9781438460529"</f>
        <v>9781438460529</v>
      </c>
      <c r="H3520" s="2" t="s">
        <v>14</v>
      </c>
      <c r="I3520" s="4">
        <v>43934.753472222219</v>
      </c>
      <c r="J3520" s="2" t="s">
        <v>1639</v>
      </c>
    </row>
    <row r="3521" spans="1:10" ht="135" x14ac:dyDescent="0.25">
      <c r="A3521" s="2" t="s">
        <v>29</v>
      </c>
      <c r="B3521" s="2">
        <v>364.10599999999999</v>
      </c>
      <c r="C3521" s="2" t="s">
        <v>10283</v>
      </c>
      <c r="D3521" s="2" t="s">
        <v>10282</v>
      </c>
      <c r="E3521" s="2" t="s">
        <v>1869</v>
      </c>
      <c r="F3521" s="3">
        <v>41460</v>
      </c>
      <c r="G3521" s="2" t="str">
        <f>"9781442222274"</f>
        <v>9781442222274</v>
      </c>
      <c r="H3521" s="2" t="s">
        <v>14</v>
      </c>
      <c r="I3521" s="4">
        <v>43074.427777777775</v>
      </c>
      <c r="J3521" s="2" t="s">
        <v>10284</v>
      </c>
    </row>
    <row r="3522" spans="1:10" ht="135" x14ac:dyDescent="0.25">
      <c r="A3522" s="2" t="s">
        <v>29</v>
      </c>
      <c r="B3522" s="2">
        <v>364.10609540000002</v>
      </c>
      <c r="C3522" s="2" t="s">
        <v>6237</v>
      </c>
      <c r="D3522" s="2" t="s">
        <v>6236</v>
      </c>
      <c r="E3522" s="2" t="s">
        <v>54</v>
      </c>
      <c r="F3522" s="3">
        <v>43459</v>
      </c>
      <c r="G3522" s="2" t="str">
        <f>"9781503607323"</f>
        <v>9781503607323</v>
      </c>
      <c r="H3522" s="2" t="s">
        <v>14</v>
      </c>
      <c r="I3522" s="4">
        <v>43530.656944444447</v>
      </c>
      <c r="J3522" s="2" t="s">
        <v>6238</v>
      </c>
    </row>
    <row r="3523" spans="1:10" ht="135" x14ac:dyDescent="0.25">
      <c r="A3523" s="2" t="s">
        <v>29</v>
      </c>
      <c r="B3523" s="2">
        <v>305.42094600000001</v>
      </c>
      <c r="C3523" s="2" t="s">
        <v>4138</v>
      </c>
      <c r="D3523" s="2" t="s">
        <v>4137</v>
      </c>
      <c r="E3523" s="2" t="s">
        <v>216</v>
      </c>
      <c r="F3523" s="3">
        <v>43617</v>
      </c>
      <c r="G3523" s="2" t="str">
        <f>"9781438473710"</f>
        <v>9781438473710</v>
      </c>
      <c r="H3523" s="2" t="s">
        <v>14</v>
      </c>
      <c r="I3523" s="4">
        <v>43707.536111111112</v>
      </c>
      <c r="J3523" s="2" t="s">
        <v>4139</v>
      </c>
    </row>
    <row r="3524" spans="1:10" ht="135" x14ac:dyDescent="0.25">
      <c r="A3524" s="2" t="s">
        <v>29</v>
      </c>
      <c r="B3524" s="2">
        <v>305.42090000000002</v>
      </c>
      <c r="C3524" s="2" t="s">
        <v>4233</v>
      </c>
      <c r="D3524" s="2" t="s">
        <v>4231</v>
      </c>
      <c r="E3524" s="2" t="s">
        <v>4232</v>
      </c>
      <c r="F3524" s="3">
        <v>40544</v>
      </c>
      <c r="G3524" s="2" t="str">
        <f>"9781936117956"</f>
        <v>9781936117956</v>
      </c>
      <c r="H3524" s="2" t="s">
        <v>14</v>
      </c>
      <c r="I3524" s="4">
        <v>43690.92083333333</v>
      </c>
      <c r="J3524" s="2" t="s">
        <v>4234</v>
      </c>
    </row>
    <row r="3525" spans="1:10" ht="165" x14ac:dyDescent="0.25">
      <c r="A3525" s="2" t="s">
        <v>29</v>
      </c>
      <c r="B3525" s="2">
        <v>305.23082096000002</v>
      </c>
      <c r="C3525" s="2" t="s">
        <v>12797</v>
      </c>
      <c r="D3525" s="2" t="s">
        <v>12796</v>
      </c>
      <c r="E3525" s="2" t="s">
        <v>256</v>
      </c>
      <c r="F3525" s="3">
        <v>41958</v>
      </c>
      <c r="G3525" s="2" t="str">
        <f>"9780821445013"</f>
        <v>9780821445013</v>
      </c>
      <c r="H3525" s="2" t="s">
        <v>14</v>
      </c>
      <c r="I3525" s="4">
        <v>42773.46597222222</v>
      </c>
      <c r="J3525" s="2" t="s">
        <v>12798</v>
      </c>
    </row>
    <row r="3526" spans="1:10" ht="135" x14ac:dyDescent="0.25">
      <c r="A3526" s="2" t="s">
        <v>29</v>
      </c>
      <c r="B3526" s="2">
        <v>307.1216</v>
      </c>
      <c r="C3526" s="2" t="s">
        <v>2060</v>
      </c>
      <c r="D3526" s="2" t="s">
        <v>2059</v>
      </c>
      <c r="E3526" s="2" t="s">
        <v>526</v>
      </c>
      <c r="F3526" s="3">
        <v>43224</v>
      </c>
      <c r="G3526" s="2" t="str">
        <f>"9781477314326"</f>
        <v>9781477314326</v>
      </c>
      <c r="H3526" s="2" t="s">
        <v>14</v>
      </c>
      <c r="I3526" s="4">
        <v>43915.684027777781</v>
      </c>
      <c r="J3526" s="2" t="s">
        <v>2061</v>
      </c>
    </row>
    <row r="3527" spans="1:10" ht="135" x14ac:dyDescent="0.25">
      <c r="A3527" s="2" t="s">
        <v>29</v>
      </c>
      <c r="B3527" s="2" t="s">
        <v>11747</v>
      </c>
      <c r="C3527" s="2" t="s">
        <v>11748</v>
      </c>
      <c r="D3527" s="2" t="s">
        <v>11746</v>
      </c>
      <c r="E3527" s="2" t="s">
        <v>89</v>
      </c>
      <c r="F3527" s="3">
        <v>42278</v>
      </c>
      <c r="G3527" s="2" t="str">
        <f>"9781782388333"</f>
        <v>9781782388333</v>
      </c>
      <c r="H3527" s="2" t="s">
        <v>14</v>
      </c>
      <c r="I3527" s="4">
        <v>42902.675694444442</v>
      </c>
      <c r="J3527" s="2" t="s">
        <v>11749</v>
      </c>
    </row>
    <row r="3528" spans="1:10" ht="135" x14ac:dyDescent="0.25">
      <c r="A3528" s="2" t="s">
        <v>29</v>
      </c>
      <c r="C3528" s="2" t="s">
        <v>5019</v>
      </c>
      <c r="D3528" s="2" t="s">
        <v>5018</v>
      </c>
      <c r="E3528" s="2" t="s">
        <v>268</v>
      </c>
      <c r="F3528" s="3">
        <v>43354</v>
      </c>
      <c r="G3528" s="2" t="str">
        <f>"9780815732754"</f>
        <v>9780815732754</v>
      </c>
      <c r="H3528" s="2" t="s">
        <v>14</v>
      </c>
      <c r="I3528" s="4">
        <v>43612.565972222219</v>
      </c>
      <c r="J3528" s="2" t="s">
        <v>5020</v>
      </c>
    </row>
    <row r="3529" spans="1:10" ht="135" x14ac:dyDescent="0.25">
      <c r="A3529" s="2" t="s">
        <v>29</v>
      </c>
      <c r="B3529" s="2">
        <v>364.10660971999999</v>
      </c>
      <c r="C3529" s="2" t="s">
        <v>6312</v>
      </c>
      <c r="D3529" s="2" t="s">
        <v>6311</v>
      </c>
      <c r="E3529" s="2" t="s">
        <v>526</v>
      </c>
      <c r="F3529" s="3">
        <v>42428</v>
      </c>
      <c r="G3529" s="2" t="str">
        <f>"9781477311226"</f>
        <v>9781477311226</v>
      </c>
      <c r="H3529" s="2" t="s">
        <v>14</v>
      </c>
      <c r="I3529" s="4">
        <v>43525.602083333331</v>
      </c>
      <c r="J3529" s="2" t="s">
        <v>6313</v>
      </c>
    </row>
    <row r="3530" spans="1:10" ht="135" x14ac:dyDescent="0.25">
      <c r="A3530" s="2" t="s">
        <v>29</v>
      </c>
      <c r="B3530" s="2">
        <v>364.16309569999999</v>
      </c>
      <c r="C3530" s="2" t="s">
        <v>1547</v>
      </c>
      <c r="D3530" s="2" t="s">
        <v>1546</v>
      </c>
      <c r="E3530" s="2" t="s">
        <v>89</v>
      </c>
      <c r="F3530" s="3">
        <v>43588</v>
      </c>
      <c r="G3530" s="2" t="str">
        <f>"9781789200133"</f>
        <v>9781789200133</v>
      </c>
      <c r="H3530" s="2" t="s">
        <v>14</v>
      </c>
      <c r="I3530" s="4">
        <v>43937.94027777778</v>
      </c>
      <c r="J3530" s="2" t="s">
        <v>1548</v>
      </c>
    </row>
    <row r="3531" spans="1:10" ht="165" x14ac:dyDescent="0.25">
      <c r="A3531" s="2" t="s">
        <v>29</v>
      </c>
      <c r="B3531" s="2">
        <v>306.81095492999998</v>
      </c>
      <c r="C3531" s="2" t="s">
        <v>3850</v>
      </c>
      <c r="D3531" s="2" t="s">
        <v>3849</v>
      </c>
      <c r="E3531" s="2" t="s">
        <v>856</v>
      </c>
      <c r="F3531" s="3">
        <v>43525</v>
      </c>
      <c r="G3531" s="2" t="str">
        <f>"9780295745428"</f>
        <v>9780295745428</v>
      </c>
      <c r="H3531" s="2" t="s">
        <v>14</v>
      </c>
      <c r="I3531" s="4">
        <v>43749.861805555556</v>
      </c>
      <c r="J3531" s="2" t="s">
        <v>3851</v>
      </c>
    </row>
    <row r="3532" spans="1:10" ht="135" x14ac:dyDescent="0.25">
      <c r="A3532" s="2" t="s">
        <v>29</v>
      </c>
      <c r="B3532" s="2" t="s">
        <v>9045</v>
      </c>
      <c r="C3532" s="2" t="s">
        <v>9046</v>
      </c>
      <c r="D3532" s="2" t="s">
        <v>9044</v>
      </c>
      <c r="E3532" s="2" t="s">
        <v>235</v>
      </c>
      <c r="F3532" s="3">
        <v>42422</v>
      </c>
      <c r="G3532" s="2" t="str">
        <f>"9781440836534"</f>
        <v>9781440836534</v>
      </c>
      <c r="H3532" s="2" t="s">
        <v>14</v>
      </c>
      <c r="I3532" s="4">
        <v>43221.577777777777</v>
      </c>
      <c r="J3532" s="2" t="s">
        <v>9047</v>
      </c>
    </row>
    <row r="3533" spans="1:10" ht="135" x14ac:dyDescent="0.25">
      <c r="A3533" s="2" t="s">
        <v>29</v>
      </c>
      <c r="B3533" s="2">
        <v>363.32</v>
      </c>
      <c r="C3533" s="2" t="s">
        <v>1445</v>
      </c>
      <c r="D3533" s="2" t="s">
        <v>1444</v>
      </c>
      <c r="E3533" s="2" t="s">
        <v>130</v>
      </c>
      <c r="F3533" s="3">
        <v>43445</v>
      </c>
      <c r="G3533" s="2" t="str">
        <f>"9781683400752"</f>
        <v>9781683400752</v>
      </c>
      <c r="H3533" s="2" t="s">
        <v>14</v>
      </c>
      <c r="I3533" s="4">
        <v>43943.30972222222</v>
      </c>
      <c r="J3533" s="2" t="s">
        <v>1446</v>
      </c>
    </row>
    <row r="3534" spans="1:10" ht="135" x14ac:dyDescent="0.25">
      <c r="A3534" s="2" t="s">
        <v>29</v>
      </c>
      <c r="B3534" s="2">
        <v>362.55</v>
      </c>
      <c r="C3534" s="2" t="s">
        <v>10126</v>
      </c>
      <c r="D3534" s="2" t="s">
        <v>10125</v>
      </c>
      <c r="E3534" s="2" t="s">
        <v>1869</v>
      </c>
      <c r="F3534" s="3">
        <v>41557</v>
      </c>
      <c r="G3534" s="2" t="str">
        <f>"9780759124226"</f>
        <v>9780759124226</v>
      </c>
      <c r="H3534" s="2" t="s">
        <v>14</v>
      </c>
      <c r="I3534" s="4">
        <v>43096.527083333334</v>
      </c>
      <c r="J3534" s="2" t="s">
        <v>10127</v>
      </c>
    </row>
    <row r="3535" spans="1:10" ht="135" x14ac:dyDescent="0.25">
      <c r="A3535" s="2" t="s">
        <v>29</v>
      </c>
      <c r="B3535" s="2">
        <v>305.80074000000002</v>
      </c>
      <c r="C3535" s="2" t="s">
        <v>562</v>
      </c>
      <c r="D3535" s="2" t="s">
        <v>560</v>
      </c>
      <c r="E3535" s="2" t="s">
        <v>561</v>
      </c>
      <c r="F3535" s="3">
        <v>43748</v>
      </c>
      <c r="G3535" s="2" t="str">
        <f>"9789088907791"</f>
        <v>9789088907791</v>
      </c>
      <c r="H3535" s="2" t="s">
        <v>14</v>
      </c>
      <c r="I3535" s="4">
        <v>44013.671527777777</v>
      </c>
      <c r="J3535" s="2" t="s">
        <v>563</v>
      </c>
    </row>
    <row r="3536" spans="1:10" ht="135" x14ac:dyDescent="0.25">
      <c r="A3536" s="2" t="s">
        <v>29</v>
      </c>
      <c r="B3536" s="2">
        <v>302.23</v>
      </c>
      <c r="C3536" s="2" t="s">
        <v>1082</v>
      </c>
      <c r="D3536" s="2" t="s">
        <v>7617</v>
      </c>
      <c r="E3536" s="2" t="s">
        <v>17</v>
      </c>
      <c r="F3536" s="3">
        <v>42436</v>
      </c>
      <c r="G3536" s="2" t="str">
        <f>"9781137574282"</f>
        <v>9781137574282</v>
      </c>
      <c r="H3536" s="2" t="s">
        <v>14</v>
      </c>
      <c r="I3536" s="4">
        <v>43404.879166666666</v>
      </c>
      <c r="J3536" s="2" t="s">
        <v>7618</v>
      </c>
    </row>
    <row r="3537" spans="1:10" ht="135" x14ac:dyDescent="0.25">
      <c r="A3537" s="2" t="s">
        <v>29</v>
      </c>
      <c r="B3537" s="2">
        <v>305.40942000000001</v>
      </c>
      <c r="C3537" s="2" t="s">
        <v>12769</v>
      </c>
      <c r="D3537" s="2" t="s">
        <v>12768</v>
      </c>
      <c r="E3537" s="2" t="s">
        <v>11785</v>
      </c>
      <c r="F3537" s="3">
        <v>42703</v>
      </c>
      <c r="G3537" s="2" t="str">
        <f>"9780472122394"</f>
        <v>9780472122394</v>
      </c>
      <c r="H3537" s="2" t="s">
        <v>14</v>
      </c>
      <c r="I3537" s="4">
        <v>42776.40347222222</v>
      </c>
      <c r="J3537" s="2" t="s">
        <v>12770</v>
      </c>
    </row>
    <row r="3538" spans="1:10" ht="135" x14ac:dyDescent="0.25">
      <c r="A3538" s="2" t="s">
        <v>29</v>
      </c>
      <c r="B3538" s="2">
        <v>303.48200000000003</v>
      </c>
      <c r="C3538" s="2" t="s">
        <v>6476</v>
      </c>
      <c r="D3538" s="2" t="s">
        <v>6475</v>
      </c>
      <c r="E3538" s="2" t="s">
        <v>221</v>
      </c>
      <c r="F3538" s="3">
        <v>43040</v>
      </c>
      <c r="G3538" s="2" t="str">
        <f>"9789888455010"</f>
        <v>9789888455010</v>
      </c>
      <c r="H3538" s="2" t="s">
        <v>14</v>
      </c>
      <c r="I3538" s="4">
        <v>43515.454861111109</v>
      </c>
      <c r="J3538" s="2" t="s">
        <v>6477</v>
      </c>
    </row>
    <row r="3539" spans="1:10" ht="135" x14ac:dyDescent="0.25">
      <c r="A3539" s="2" t="s">
        <v>29</v>
      </c>
      <c r="B3539" s="2">
        <v>302.54399999999998</v>
      </c>
      <c r="C3539" s="2" t="s">
        <v>1555</v>
      </c>
      <c r="D3539" s="2" t="s">
        <v>1554</v>
      </c>
      <c r="E3539" s="2" t="s">
        <v>69</v>
      </c>
      <c r="F3539" s="3">
        <v>43739</v>
      </c>
      <c r="G3539" s="2" t="str">
        <f>"9780253043092"</f>
        <v>9780253043092</v>
      </c>
      <c r="H3539" s="2" t="s">
        <v>14</v>
      </c>
      <c r="I3539" s="4">
        <v>43937.682638888888</v>
      </c>
      <c r="J3539" s="2" t="s">
        <v>1556</v>
      </c>
    </row>
    <row r="3540" spans="1:10" ht="135" x14ac:dyDescent="0.25">
      <c r="A3540" s="2" t="s">
        <v>29</v>
      </c>
      <c r="C3540" s="2" t="s">
        <v>9823</v>
      </c>
      <c r="D3540" s="2" t="s">
        <v>9822</v>
      </c>
      <c r="E3540" s="2" t="s">
        <v>221</v>
      </c>
      <c r="F3540" s="3">
        <v>42522</v>
      </c>
      <c r="G3540" s="2" t="str">
        <f>"9789888313471"</f>
        <v>9789888313471</v>
      </c>
      <c r="H3540" s="2" t="s">
        <v>14</v>
      </c>
      <c r="I3540" s="4">
        <v>43126.867361111108</v>
      </c>
      <c r="J3540" s="2" t="s">
        <v>9824</v>
      </c>
    </row>
    <row r="3541" spans="1:10" ht="135" x14ac:dyDescent="0.25">
      <c r="A3541" s="2" t="s">
        <v>29</v>
      </c>
      <c r="B3541" s="2">
        <v>363.45097199999901</v>
      </c>
      <c r="C3541" s="2" t="s">
        <v>691</v>
      </c>
      <c r="D3541" s="2" t="s">
        <v>690</v>
      </c>
      <c r="E3541" s="2" t="s">
        <v>499</v>
      </c>
      <c r="F3541" s="3">
        <v>42475</v>
      </c>
      <c r="G3541" s="2" t="str">
        <f>"9781626162969"</f>
        <v>9781626162969</v>
      </c>
      <c r="H3541" s="2" t="s">
        <v>14</v>
      </c>
      <c r="I3541" s="4">
        <v>43999.064583333333</v>
      </c>
      <c r="J3541" s="2" t="s">
        <v>692</v>
      </c>
    </row>
    <row r="3542" spans="1:10" ht="150" x14ac:dyDescent="0.25">
      <c r="A3542" s="2" t="s">
        <v>29</v>
      </c>
      <c r="B3542" s="2">
        <v>304.8</v>
      </c>
      <c r="C3542" s="2" t="s">
        <v>12096</v>
      </c>
      <c r="D3542" s="2" t="s">
        <v>12095</v>
      </c>
      <c r="E3542" s="2" t="s">
        <v>130</v>
      </c>
      <c r="F3542" s="3">
        <v>42234</v>
      </c>
      <c r="G3542" s="2" t="str">
        <f>"9780813055404"</f>
        <v>9780813055404</v>
      </c>
      <c r="H3542" s="2" t="s">
        <v>14</v>
      </c>
      <c r="I3542" s="4">
        <v>42851.365277777775</v>
      </c>
      <c r="J3542" s="2" t="s">
        <v>12097</v>
      </c>
    </row>
    <row r="3543" spans="1:10" ht="135" x14ac:dyDescent="0.25">
      <c r="A3543" s="2" t="s">
        <v>29</v>
      </c>
      <c r="B3543" s="2" t="s">
        <v>726</v>
      </c>
      <c r="C3543" s="2" t="s">
        <v>6315</v>
      </c>
      <c r="D3543" s="2" t="s">
        <v>6314</v>
      </c>
      <c r="E3543" s="2" t="s">
        <v>216</v>
      </c>
      <c r="F3543" s="3">
        <v>43466</v>
      </c>
      <c r="G3543" s="2" t="str">
        <f>"9781438472638"</f>
        <v>9781438472638</v>
      </c>
      <c r="H3543" s="2" t="s">
        <v>14</v>
      </c>
      <c r="I3543" s="4">
        <v>43525.558333333334</v>
      </c>
      <c r="J3543" s="2" t="s">
        <v>6316</v>
      </c>
    </row>
    <row r="3544" spans="1:10" ht="135" x14ac:dyDescent="0.25">
      <c r="A3544" s="2" t="s">
        <v>29</v>
      </c>
      <c r="B3544" s="2">
        <v>363.32509729999998</v>
      </c>
      <c r="C3544" s="2" t="s">
        <v>4011</v>
      </c>
      <c r="D3544" s="2" t="s">
        <v>4009</v>
      </c>
      <c r="E3544" s="2" t="s">
        <v>4010</v>
      </c>
      <c r="F3544" s="3">
        <v>42685</v>
      </c>
      <c r="G3544" s="2" t="str">
        <f>"9780812293715"</f>
        <v>9780812293715</v>
      </c>
      <c r="H3544" s="2" t="s">
        <v>14</v>
      </c>
      <c r="I3544" s="4">
        <v>43726.93472222222</v>
      </c>
      <c r="J3544" s="2" t="s">
        <v>4012</v>
      </c>
    </row>
    <row r="3545" spans="1:10" ht="135" x14ac:dyDescent="0.25">
      <c r="A3545" s="2" t="s">
        <v>29</v>
      </c>
      <c r="B3545" s="2" t="s">
        <v>2535</v>
      </c>
      <c r="C3545" s="2" t="s">
        <v>2536</v>
      </c>
      <c r="D3545" s="2" t="s">
        <v>2534</v>
      </c>
      <c r="E3545" s="2" t="s">
        <v>130</v>
      </c>
      <c r="F3545" s="3">
        <v>43214</v>
      </c>
      <c r="G3545" s="2" t="str">
        <f>"9780813052298"</f>
        <v>9780813052298</v>
      </c>
      <c r="H3545" s="2" t="s">
        <v>14</v>
      </c>
      <c r="I3545" s="4">
        <v>43878.625694444447</v>
      </c>
      <c r="J3545" s="2" t="s">
        <v>2537</v>
      </c>
    </row>
    <row r="3546" spans="1:10" ht="135" x14ac:dyDescent="0.25">
      <c r="A3546" s="2" t="s">
        <v>29</v>
      </c>
      <c r="B3546" s="2" t="s">
        <v>11359</v>
      </c>
      <c r="C3546" s="2" t="s">
        <v>11360</v>
      </c>
      <c r="D3546" s="2" t="s">
        <v>11358</v>
      </c>
      <c r="E3546" s="2" t="s">
        <v>180</v>
      </c>
      <c r="F3546" s="3">
        <v>42257</v>
      </c>
      <c r="G3546" s="2" t="str">
        <f>"9781479842841"</f>
        <v>9781479842841</v>
      </c>
      <c r="H3546" s="2" t="s">
        <v>14</v>
      </c>
      <c r="I3546" s="4">
        <v>42984.008333333331</v>
      </c>
      <c r="J3546" s="2" t="s">
        <v>11361</v>
      </c>
    </row>
    <row r="3547" spans="1:10" ht="150" x14ac:dyDescent="0.25">
      <c r="A3547" s="2" t="s">
        <v>29</v>
      </c>
      <c r="B3547" s="2" t="s">
        <v>10480</v>
      </c>
      <c r="C3547" s="2" t="s">
        <v>10481</v>
      </c>
      <c r="D3547" s="2" t="s">
        <v>10479</v>
      </c>
      <c r="E3547" s="2" t="s">
        <v>156</v>
      </c>
      <c r="F3547" s="3">
        <v>42485</v>
      </c>
      <c r="G3547" s="2" t="str">
        <f>"9781469627670"</f>
        <v>9781469627670</v>
      </c>
      <c r="H3547" s="2" t="s">
        <v>14</v>
      </c>
      <c r="I3547" s="4">
        <v>43054.793055555558</v>
      </c>
      <c r="J3547" s="2" t="s">
        <v>10482</v>
      </c>
    </row>
    <row r="3548" spans="1:10" ht="150" x14ac:dyDescent="0.25">
      <c r="A3548" s="2" t="s">
        <v>29</v>
      </c>
      <c r="B3548" s="2">
        <v>306.81096209034001</v>
      </c>
      <c r="C3548" s="2" t="s">
        <v>9658</v>
      </c>
      <c r="D3548" s="2" t="s">
        <v>9657</v>
      </c>
      <c r="E3548" s="2" t="s">
        <v>310</v>
      </c>
      <c r="F3548" s="3">
        <v>42095</v>
      </c>
      <c r="G3548" s="2" t="str">
        <f>"9780815653165"</f>
        <v>9780815653165</v>
      </c>
      <c r="H3548" s="2" t="s">
        <v>14</v>
      </c>
      <c r="I3548" s="4">
        <v>43139.647916666669</v>
      </c>
      <c r="J3548" s="2" t="s">
        <v>9659</v>
      </c>
    </row>
    <row r="3549" spans="1:10" ht="135" x14ac:dyDescent="0.25">
      <c r="A3549" s="2" t="s">
        <v>29</v>
      </c>
      <c r="B3549" s="2">
        <v>303.37200000000001</v>
      </c>
      <c r="C3549" s="2" t="s">
        <v>153</v>
      </c>
      <c r="D3549" s="2" t="s">
        <v>1209</v>
      </c>
      <c r="E3549" s="2" t="s">
        <v>37</v>
      </c>
      <c r="F3549" s="3">
        <v>42523</v>
      </c>
      <c r="G3549" s="2" t="str">
        <f>"9783319284392"</f>
        <v>9783319284392</v>
      </c>
      <c r="H3549" s="2" t="s">
        <v>14</v>
      </c>
      <c r="I3549" s="4">
        <v>43956.491666666669</v>
      </c>
      <c r="J3549" s="2" t="s">
        <v>1210</v>
      </c>
    </row>
    <row r="3550" spans="1:10" ht="180" x14ac:dyDescent="0.25">
      <c r="A3550" s="2" t="s">
        <v>29</v>
      </c>
      <c r="B3550" s="2" t="s">
        <v>1874</v>
      </c>
      <c r="C3550" s="2" t="s">
        <v>11095</v>
      </c>
      <c r="D3550" s="2" t="s">
        <v>11094</v>
      </c>
      <c r="E3550" s="2" t="s">
        <v>4660</v>
      </c>
      <c r="F3550" s="3">
        <v>35012</v>
      </c>
      <c r="G3550" s="2" t="str">
        <f>"9780813158204"</f>
        <v>9780813158204</v>
      </c>
      <c r="H3550" s="2" t="s">
        <v>14</v>
      </c>
      <c r="I3550" s="4">
        <v>43018.548611111109</v>
      </c>
      <c r="J3550" s="2" t="s">
        <v>11096</v>
      </c>
    </row>
    <row r="3551" spans="1:10" ht="180" x14ac:dyDescent="0.25">
      <c r="A3551" s="2" t="s">
        <v>29</v>
      </c>
      <c r="B3551" s="2">
        <v>362.87098500000002</v>
      </c>
      <c r="C3551" s="2" t="s">
        <v>5122</v>
      </c>
      <c r="D3551" s="2" t="s">
        <v>5121</v>
      </c>
      <c r="E3551" s="2" t="s">
        <v>54</v>
      </c>
      <c r="F3551" s="3">
        <v>42948</v>
      </c>
      <c r="G3551" s="2" t="str">
        <f>"9781503602632"</f>
        <v>9781503602632</v>
      </c>
      <c r="H3551" s="2" t="s">
        <v>14</v>
      </c>
      <c r="I3551" s="4">
        <v>43609.862500000003</v>
      </c>
      <c r="J3551" s="2" t="s">
        <v>5123</v>
      </c>
    </row>
    <row r="3552" spans="1:10" ht="135" x14ac:dyDescent="0.25">
      <c r="A3552" s="2" t="s">
        <v>29</v>
      </c>
      <c r="B3552" s="2" t="s">
        <v>10245</v>
      </c>
      <c r="C3552" s="2" t="s">
        <v>10246</v>
      </c>
      <c r="D3552" s="2" t="s">
        <v>10244</v>
      </c>
      <c r="E3552" s="2" t="s">
        <v>69</v>
      </c>
      <c r="F3552" s="3">
        <v>42555</v>
      </c>
      <c r="G3552" s="2" t="str">
        <f>"9780253021496"</f>
        <v>9780253021496</v>
      </c>
      <c r="H3552" s="2" t="s">
        <v>14</v>
      </c>
      <c r="I3552" s="4">
        <v>43076.647222222222</v>
      </c>
      <c r="J3552" s="2" t="s">
        <v>10247</v>
      </c>
    </row>
    <row r="3553" spans="1:10" ht="135" x14ac:dyDescent="0.25">
      <c r="A3553" s="2" t="s">
        <v>29</v>
      </c>
      <c r="B3553" s="2">
        <v>361.3</v>
      </c>
      <c r="C3553" s="2" t="s">
        <v>7131</v>
      </c>
      <c r="D3553" s="2" t="s">
        <v>7130</v>
      </c>
      <c r="E3553" s="2" t="s">
        <v>97</v>
      </c>
      <c r="F3553" s="3">
        <v>41793</v>
      </c>
      <c r="G3553" s="2" t="str">
        <f>"9780231537629"</f>
        <v>9780231537629</v>
      </c>
      <c r="H3553" s="2" t="s">
        <v>14</v>
      </c>
      <c r="I3553" s="4">
        <v>43441.746527777781</v>
      </c>
      <c r="J3553" s="2" t="s">
        <v>7132</v>
      </c>
    </row>
    <row r="3554" spans="1:10" ht="135" x14ac:dyDescent="0.25">
      <c r="A3554" s="2" t="s">
        <v>29</v>
      </c>
      <c r="B3554" s="2">
        <v>302.23</v>
      </c>
      <c r="C3554" s="2" t="s">
        <v>12929</v>
      </c>
      <c r="D3554" s="2" t="s">
        <v>12928</v>
      </c>
      <c r="E3554" s="2" t="s">
        <v>73</v>
      </c>
      <c r="F3554" s="3">
        <v>42109</v>
      </c>
      <c r="G3554" s="2" t="str">
        <f>"9781452944340"</f>
        <v>9781452944340</v>
      </c>
      <c r="H3554" s="2" t="s">
        <v>14</v>
      </c>
      <c r="I3554" s="4">
        <v>42757.484027777777</v>
      </c>
      <c r="J3554" s="2" t="s">
        <v>12930</v>
      </c>
    </row>
    <row r="3555" spans="1:10" ht="135" x14ac:dyDescent="0.25">
      <c r="A3555" s="2" t="s">
        <v>29</v>
      </c>
      <c r="B3555" s="2">
        <v>361.77091724000002</v>
      </c>
      <c r="C3555" s="2" t="s">
        <v>4283</v>
      </c>
      <c r="D3555" s="2" t="s">
        <v>4282</v>
      </c>
      <c r="E3555" s="2" t="s">
        <v>69</v>
      </c>
      <c r="F3555" s="3">
        <v>42877</v>
      </c>
      <c r="G3555" s="2" t="str">
        <f>"9780253026583"</f>
        <v>9780253026583</v>
      </c>
      <c r="H3555" s="2" t="s">
        <v>14</v>
      </c>
      <c r="I3555" s="4">
        <v>43685.46597222222</v>
      </c>
      <c r="J3555" s="2" t="s">
        <v>4284</v>
      </c>
    </row>
    <row r="3556" spans="1:10" ht="135" x14ac:dyDescent="0.25">
      <c r="A3556" s="2" t="s">
        <v>29</v>
      </c>
      <c r="B3556" s="2">
        <v>304.20819999999998</v>
      </c>
      <c r="C3556" s="2" t="s">
        <v>1526</v>
      </c>
      <c r="D3556" s="2" t="s">
        <v>1525</v>
      </c>
      <c r="E3556" s="2" t="s">
        <v>28</v>
      </c>
      <c r="F3556" s="3">
        <v>43768</v>
      </c>
      <c r="G3556" s="2" t="str">
        <f>"9780813942834"</f>
        <v>9780813942834</v>
      </c>
      <c r="H3556" s="2" t="s">
        <v>14</v>
      </c>
      <c r="I3556" s="4">
        <v>43939.344444444447</v>
      </c>
      <c r="J3556" s="2" t="s">
        <v>1527</v>
      </c>
    </row>
    <row r="3557" spans="1:10" ht="135" x14ac:dyDescent="0.25">
      <c r="A3557" s="2" t="s">
        <v>29</v>
      </c>
      <c r="B3557" s="2">
        <v>307.76096999999999</v>
      </c>
      <c r="C3557" s="2" t="s">
        <v>2554</v>
      </c>
      <c r="D3557" s="2" t="s">
        <v>2553</v>
      </c>
      <c r="E3557" s="2" t="s">
        <v>156</v>
      </c>
      <c r="F3557" s="3">
        <v>43577</v>
      </c>
      <c r="G3557" s="2" t="str">
        <f>"9781469648774"</f>
        <v>9781469648774</v>
      </c>
      <c r="H3557" s="2" t="s">
        <v>14</v>
      </c>
      <c r="I3557" s="4">
        <v>43876.938194444447</v>
      </c>
      <c r="J3557" s="2" t="s">
        <v>2555</v>
      </c>
    </row>
    <row r="3558" spans="1:10" ht="135" x14ac:dyDescent="0.25">
      <c r="A3558" s="2" t="s">
        <v>29</v>
      </c>
      <c r="B3558" s="2" t="s">
        <v>12662</v>
      </c>
      <c r="C3558" s="2" t="s">
        <v>12663</v>
      </c>
      <c r="D3558" s="2" t="s">
        <v>12661</v>
      </c>
      <c r="E3558" s="2" t="s">
        <v>156</v>
      </c>
      <c r="F3558" s="3">
        <v>42489</v>
      </c>
      <c r="G3558" s="2" t="str">
        <f>"9781469627618"</f>
        <v>9781469627618</v>
      </c>
      <c r="H3558" s="2" t="s">
        <v>14</v>
      </c>
      <c r="I3558" s="4">
        <v>42785.826388888891</v>
      </c>
      <c r="J3558" s="2" t="s">
        <v>12664</v>
      </c>
    </row>
    <row r="3559" spans="1:10" ht="135" x14ac:dyDescent="0.25">
      <c r="A3559" s="2" t="s">
        <v>29</v>
      </c>
      <c r="B3559" s="2" t="s">
        <v>4176</v>
      </c>
      <c r="C3559" s="2" t="s">
        <v>4177</v>
      </c>
      <c r="D3559" s="2" t="s">
        <v>4175</v>
      </c>
      <c r="E3559" s="2" t="s">
        <v>73</v>
      </c>
      <c r="F3559" s="3">
        <v>41699</v>
      </c>
      <c r="G3559" s="2" t="str">
        <f>"9781452940908"</f>
        <v>9781452940908</v>
      </c>
      <c r="H3559" s="2" t="s">
        <v>14</v>
      </c>
      <c r="I3559" s="4">
        <v>43702.651388888888</v>
      </c>
      <c r="J3559" s="2" t="s">
        <v>4178</v>
      </c>
    </row>
    <row r="3560" spans="1:10" ht="135" x14ac:dyDescent="0.25">
      <c r="A3560" s="2" t="s">
        <v>29</v>
      </c>
      <c r="B3560" s="2" t="s">
        <v>1874</v>
      </c>
      <c r="C3560" s="2" t="s">
        <v>7092</v>
      </c>
      <c r="D3560" s="2" t="s">
        <v>7091</v>
      </c>
      <c r="E3560" s="2" t="s">
        <v>69</v>
      </c>
      <c r="F3560" s="3">
        <v>38237</v>
      </c>
      <c r="G3560" s="2" t="str">
        <f>"9780253111227"</f>
        <v>9780253111227</v>
      </c>
      <c r="H3560" s="2" t="s">
        <v>14</v>
      </c>
      <c r="I3560" s="4">
        <v>43448.734722222223</v>
      </c>
      <c r="J3560" s="2" t="s">
        <v>7093</v>
      </c>
    </row>
    <row r="3561" spans="1:10" ht="150" x14ac:dyDescent="0.25">
      <c r="A3561" s="2" t="s">
        <v>29</v>
      </c>
      <c r="B3561" s="2" t="s">
        <v>8595</v>
      </c>
      <c r="C3561" s="2" t="s">
        <v>8596</v>
      </c>
      <c r="D3561" s="2" t="s">
        <v>8594</v>
      </c>
      <c r="E3561" s="2" t="s">
        <v>156</v>
      </c>
      <c r="F3561" s="3">
        <v>42443</v>
      </c>
      <c r="G3561" s="2" t="str">
        <f>"9781469628073"</f>
        <v>9781469628073</v>
      </c>
      <c r="H3561" s="2" t="s">
        <v>14</v>
      </c>
      <c r="I3561" s="4">
        <v>43284.84375</v>
      </c>
      <c r="J3561" s="2" t="s">
        <v>8597</v>
      </c>
    </row>
    <row r="3562" spans="1:10" ht="135" x14ac:dyDescent="0.25">
      <c r="A3562" s="2" t="s">
        <v>29</v>
      </c>
      <c r="B3562" s="2" t="s">
        <v>9109</v>
      </c>
      <c r="C3562" s="2" t="s">
        <v>9110</v>
      </c>
      <c r="D3562" s="2" t="s">
        <v>9108</v>
      </c>
      <c r="E3562" s="2" t="s">
        <v>526</v>
      </c>
      <c r="F3562" s="3">
        <v>42323</v>
      </c>
      <c r="G3562" s="2" t="str">
        <f>"9781477305546"</f>
        <v>9781477305546</v>
      </c>
      <c r="H3562" s="2" t="s">
        <v>14</v>
      </c>
      <c r="I3562" s="4">
        <v>43217.792361111111</v>
      </c>
      <c r="J3562" s="2" t="s">
        <v>9111</v>
      </c>
    </row>
    <row r="3563" spans="1:10" ht="135" x14ac:dyDescent="0.25">
      <c r="A3563" s="2" t="s">
        <v>29</v>
      </c>
      <c r="B3563" s="2">
        <v>363.23089009773099</v>
      </c>
      <c r="C3563" s="2" t="s">
        <v>4273</v>
      </c>
      <c r="D3563" s="2" t="s">
        <v>4272</v>
      </c>
      <c r="E3563" s="2" t="s">
        <v>156</v>
      </c>
      <c r="F3563" s="3">
        <v>43577</v>
      </c>
      <c r="G3563" s="2" t="str">
        <f>"9781469649610"</f>
        <v>9781469649610</v>
      </c>
      <c r="H3563" s="2" t="s">
        <v>14</v>
      </c>
      <c r="I3563" s="4">
        <v>43687.453472222223</v>
      </c>
      <c r="J3563" s="2" t="s">
        <v>4274</v>
      </c>
    </row>
    <row r="3564" spans="1:10" ht="135" x14ac:dyDescent="0.25">
      <c r="A3564" s="2" t="s">
        <v>29</v>
      </c>
      <c r="B3564" s="2" t="s">
        <v>5726</v>
      </c>
      <c r="C3564" s="2" t="s">
        <v>5727</v>
      </c>
      <c r="D3564" s="2" t="s">
        <v>5725</v>
      </c>
      <c r="E3564" s="2" t="s">
        <v>164</v>
      </c>
      <c r="F3564" s="3">
        <v>42156</v>
      </c>
      <c r="G3564" s="2" t="str">
        <f>"9780826355867"</f>
        <v>9780826355867</v>
      </c>
      <c r="H3564" s="2" t="s">
        <v>14</v>
      </c>
      <c r="I3564" s="4">
        <v>43577.654166666667</v>
      </c>
      <c r="J3564" s="2" t="s">
        <v>5728</v>
      </c>
    </row>
    <row r="3565" spans="1:10" ht="150" x14ac:dyDescent="0.25">
      <c r="A3565" s="2" t="s">
        <v>29</v>
      </c>
      <c r="B3565" s="2">
        <v>305.420973</v>
      </c>
      <c r="C3565" s="2" t="s">
        <v>2158</v>
      </c>
      <c r="D3565" s="2" t="s">
        <v>2157</v>
      </c>
      <c r="E3565" s="2" t="s">
        <v>578</v>
      </c>
      <c r="F3565" s="3">
        <v>42488</v>
      </c>
      <c r="G3565" s="2" t="str">
        <f>"9780252098581"</f>
        <v>9780252098581</v>
      </c>
      <c r="H3565" s="2" t="s">
        <v>14</v>
      </c>
      <c r="I3565" s="4">
        <v>43908.544444444444</v>
      </c>
      <c r="J3565" s="2" t="s">
        <v>2159</v>
      </c>
    </row>
    <row r="3566" spans="1:10" ht="135" x14ac:dyDescent="0.25">
      <c r="A3566" s="2" t="s">
        <v>29</v>
      </c>
      <c r="B3566" s="2">
        <v>364</v>
      </c>
      <c r="C3566" s="2" t="s">
        <v>38</v>
      </c>
      <c r="D3566" s="2" t="s">
        <v>11988</v>
      </c>
      <c r="E3566" s="2" t="s">
        <v>37</v>
      </c>
      <c r="F3566" s="3">
        <v>41586</v>
      </c>
      <c r="G3566" s="2" t="str">
        <f>"9783319018393"</f>
        <v>9783319018393</v>
      </c>
      <c r="H3566" s="2" t="s">
        <v>14</v>
      </c>
      <c r="I3566" s="4">
        <v>42864.597916666666</v>
      </c>
      <c r="J3566" s="2" t="s">
        <v>11989</v>
      </c>
    </row>
    <row r="3567" spans="1:10" ht="165" x14ac:dyDescent="0.25">
      <c r="A3567" s="2" t="s">
        <v>29</v>
      </c>
      <c r="B3567" s="2">
        <v>301.2</v>
      </c>
      <c r="C3567" s="2" t="s">
        <v>1478</v>
      </c>
      <c r="D3567" s="2" t="s">
        <v>1476</v>
      </c>
      <c r="E3567" s="2" t="s">
        <v>1477</v>
      </c>
      <c r="F3567" s="3">
        <v>26359</v>
      </c>
      <c r="G3567" s="2" t="str">
        <f>"9780717807789"</f>
        <v>9780717807789</v>
      </c>
      <c r="H3567" s="2" t="s">
        <v>14</v>
      </c>
      <c r="I3567" s="4">
        <v>43942.412499999999</v>
      </c>
      <c r="J3567" s="2" t="s">
        <v>1479</v>
      </c>
    </row>
    <row r="3568" spans="1:10" ht="135" x14ac:dyDescent="0.25">
      <c r="A3568" s="2" t="s">
        <v>29</v>
      </c>
      <c r="B3568" s="2">
        <v>306.20972999999998</v>
      </c>
      <c r="C3568" s="2" t="s">
        <v>8559</v>
      </c>
      <c r="D3568" s="2" t="s">
        <v>8558</v>
      </c>
      <c r="E3568" s="2" t="s">
        <v>6115</v>
      </c>
      <c r="F3568" s="3">
        <v>42074</v>
      </c>
      <c r="G3568" s="2" t="str">
        <f>"9781619025226"</f>
        <v>9781619025226</v>
      </c>
      <c r="H3568" s="2" t="s">
        <v>14</v>
      </c>
      <c r="I3568" s="4">
        <v>43287.944444444445</v>
      </c>
      <c r="J3568" s="2" t="s">
        <v>8560</v>
      </c>
    </row>
    <row r="3569" spans="1:10" ht="135" x14ac:dyDescent="0.25">
      <c r="A3569" s="2" t="s">
        <v>29</v>
      </c>
      <c r="B3569" s="2" t="s">
        <v>8966</v>
      </c>
      <c r="C3569" s="2" t="s">
        <v>8967</v>
      </c>
      <c r="D3569" s="2" t="s">
        <v>8965</v>
      </c>
      <c r="E3569" s="2" t="s">
        <v>216</v>
      </c>
      <c r="F3569" s="3">
        <v>42339</v>
      </c>
      <c r="G3569" s="2" t="str">
        <f>"9781438459059"</f>
        <v>9781438459059</v>
      </c>
      <c r="H3569" s="2" t="s">
        <v>14</v>
      </c>
      <c r="I3569" s="4">
        <v>43233.691666666666</v>
      </c>
      <c r="J3569" s="2" t="s">
        <v>8968</v>
      </c>
    </row>
    <row r="3570" spans="1:10" ht="135" x14ac:dyDescent="0.25">
      <c r="A3570" s="2" t="s">
        <v>29</v>
      </c>
      <c r="B3570" s="2">
        <v>362.73409509999999</v>
      </c>
      <c r="C3570" s="2" t="s">
        <v>8503</v>
      </c>
      <c r="D3570" s="2" t="s">
        <v>8502</v>
      </c>
      <c r="E3570" s="2" t="s">
        <v>54</v>
      </c>
      <c r="F3570" s="3">
        <v>42613</v>
      </c>
      <c r="G3570" s="2" t="str">
        <f>"9781503600126"</f>
        <v>9781503600126</v>
      </c>
      <c r="H3570" s="2" t="s">
        <v>14</v>
      </c>
      <c r="I3570" s="4">
        <v>43300.441666666666</v>
      </c>
      <c r="J3570" s="2" t="s">
        <v>8504</v>
      </c>
    </row>
    <row r="3571" spans="1:10" ht="135" x14ac:dyDescent="0.25">
      <c r="A3571" s="2" t="s">
        <v>29</v>
      </c>
      <c r="B3571" s="2" t="s">
        <v>5579</v>
      </c>
      <c r="C3571" s="2" t="s">
        <v>5580</v>
      </c>
      <c r="D3571" s="2" t="s">
        <v>5578</v>
      </c>
      <c r="E3571" s="2" t="s">
        <v>499</v>
      </c>
      <c r="F3571" s="3">
        <v>41688</v>
      </c>
      <c r="G3571" s="2" t="str">
        <f>"9781626160613"</f>
        <v>9781626160613</v>
      </c>
      <c r="H3571" s="2" t="s">
        <v>14</v>
      </c>
      <c r="I3571" s="4">
        <v>43587.474305555559</v>
      </c>
      <c r="J3571" s="2" t="s">
        <v>5581</v>
      </c>
    </row>
    <row r="3572" spans="1:10" ht="135" x14ac:dyDescent="0.25">
      <c r="A3572" s="2" t="s">
        <v>29</v>
      </c>
      <c r="B3572" s="2" t="s">
        <v>813</v>
      </c>
      <c r="C3572" s="2" t="s">
        <v>814</v>
      </c>
      <c r="D3572" s="2" t="s">
        <v>812</v>
      </c>
      <c r="E3572" s="2" t="s">
        <v>310</v>
      </c>
      <c r="F3572" s="3">
        <v>43460</v>
      </c>
      <c r="G3572" s="2" t="str">
        <f>"9780815654599"</f>
        <v>9780815654599</v>
      </c>
      <c r="H3572" s="2" t="s">
        <v>14</v>
      </c>
      <c r="I3572" s="4">
        <v>43984.629166666666</v>
      </c>
      <c r="J3572" s="2" t="s">
        <v>815</v>
      </c>
    </row>
    <row r="3573" spans="1:10" ht="135" x14ac:dyDescent="0.25">
      <c r="A3573" s="2" t="s">
        <v>29</v>
      </c>
      <c r="B3573" s="2">
        <v>305.40944090310001</v>
      </c>
      <c r="C3573" s="2" t="s">
        <v>2680</v>
      </c>
      <c r="D3573" s="2" t="s">
        <v>2679</v>
      </c>
      <c r="E3573" s="2" t="s">
        <v>46</v>
      </c>
      <c r="F3573" s="3">
        <v>43800</v>
      </c>
      <c r="G3573" s="2" t="str">
        <f>"9781496216854"</f>
        <v>9781496216854</v>
      </c>
      <c r="H3573" s="2" t="s">
        <v>14</v>
      </c>
      <c r="I3573" s="4">
        <v>43865.714583333334</v>
      </c>
      <c r="J3573" s="2" t="s">
        <v>2681</v>
      </c>
    </row>
    <row r="3574" spans="1:10" ht="135" x14ac:dyDescent="0.25">
      <c r="A3574" s="2" t="s">
        <v>29</v>
      </c>
      <c r="B3574" s="2">
        <v>306.48480941000003</v>
      </c>
      <c r="C3574" s="2" t="s">
        <v>1082</v>
      </c>
      <c r="D3574" s="2" t="s">
        <v>9270</v>
      </c>
      <c r="E3574" s="2" t="s">
        <v>17</v>
      </c>
      <c r="F3574" s="3">
        <v>42649</v>
      </c>
      <c r="G3574" s="2" t="str">
        <f>"9781137597861"</f>
        <v>9781137597861</v>
      </c>
      <c r="H3574" s="2" t="s">
        <v>14</v>
      </c>
      <c r="I3574" s="4">
        <v>43192.682638888888</v>
      </c>
      <c r="J3574" s="2" t="s">
        <v>9271</v>
      </c>
    </row>
    <row r="3575" spans="1:10" ht="135" x14ac:dyDescent="0.25">
      <c r="A3575" s="2" t="s">
        <v>29</v>
      </c>
      <c r="C3575" s="2" t="s">
        <v>3600</v>
      </c>
      <c r="D3575" s="2" t="s">
        <v>3599</v>
      </c>
      <c r="E3575" s="2" t="s">
        <v>212</v>
      </c>
      <c r="F3575" s="3">
        <v>42626</v>
      </c>
      <c r="G3575" s="2" t="str">
        <f>"9789956764006"</f>
        <v>9789956764006</v>
      </c>
      <c r="H3575" s="2" t="s">
        <v>14</v>
      </c>
      <c r="I3575" s="4">
        <v>43772.692361111112</v>
      </c>
      <c r="J3575" s="2" t="s">
        <v>3601</v>
      </c>
    </row>
    <row r="3576" spans="1:10" ht="135" x14ac:dyDescent="0.25">
      <c r="A3576" s="2" t="s">
        <v>29</v>
      </c>
      <c r="B3576" s="2">
        <v>364</v>
      </c>
      <c r="C3576" s="2" t="s">
        <v>11000</v>
      </c>
      <c r="D3576" s="2" t="s">
        <v>10999</v>
      </c>
      <c r="E3576" s="2" t="s">
        <v>578</v>
      </c>
      <c r="F3576" s="3">
        <v>38828</v>
      </c>
      <c r="G3576" s="2" t="str">
        <f>"9780252090417"</f>
        <v>9780252090417</v>
      </c>
      <c r="H3576" s="2" t="s">
        <v>14</v>
      </c>
      <c r="I3576" s="4">
        <v>43023.955555555556</v>
      </c>
      <c r="J3576" s="2" t="s">
        <v>11001</v>
      </c>
    </row>
    <row r="3577" spans="1:10" ht="135" x14ac:dyDescent="0.25">
      <c r="A3577" s="2" t="s">
        <v>29</v>
      </c>
      <c r="B3577" s="2">
        <v>305.89600000000002</v>
      </c>
      <c r="C3577" s="2" t="s">
        <v>9766</v>
      </c>
      <c r="D3577" s="2" t="s">
        <v>9765</v>
      </c>
      <c r="E3577" s="2" t="s">
        <v>73</v>
      </c>
      <c r="F3577" s="3">
        <v>42050</v>
      </c>
      <c r="G3577" s="2" t="str">
        <f>"9781452943503"</f>
        <v>9781452943503</v>
      </c>
      <c r="H3577" s="2" t="s">
        <v>14</v>
      </c>
      <c r="I3577" s="4">
        <v>43131.37777777778</v>
      </c>
      <c r="J3577" s="2" t="s">
        <v>9767</v>
      </c>
    </row>
    <row r="3578" spans="1:10" ht="135" x14ac:dyDescent="0.25">
      <c r="A3578" s="2" t="s">
        <v>29</v>
      </c>
      <c r="B3578" s="2" t="s">
        <v>1332</v>
      </c>
      <c r="C3578" s="2" t="s">
        <v>1333</v>
      </c>
      <c r="D3578" s="2" t="s">
        <v>1331</v>
      </c>
      <c r="E3578" s="2" t="s">
        <v>578</v>
      </c>
      <c r="F3578" s="3">
        <v>42104</v>
      </c>
      <c r="G3578" s="2" t="str">
        <f>"9780252097058"</f>
        <v>9780252097058</v>
      </c>
      <c r="H3578" s="2" t="s">
        <v>14</v>
      </c>
      <c r="I3578" s="4">
        <v>43948.631944444445</v>
      </c>
      <c r="J3578" s="2" t="s">
        <v>1334</v>
      </c>
    </row>
    <row r="3579" spans="1:10" ht="135" x14ac:dyDescent="0.25">
      <c r="A3579" s="2" t="s">
        <v>29</v>
      </c>
      <c r="B3579" s="2">
        <v>363.23</v>
      </c>
      <c r="C3579" s="2" t="s">
        <v>780</v>
      </c>
      <c r="D3579" s="2" t="s">
        <v>779</v>
      </c>
      <c r="E3579" s="2" t="s">
        <v>585</v>
      </c>
      <c r="F3579" s="3">
        <v>29021</v>
      </c>
      <c r="G3579" s="2" t="str">
        <f>"9780226218663"</f>
        <v>9780226218663</v>
      </c>
      <c r="H3579" s="2" t="s">
        <v>14</v>
      </c>
      <c r="I3579" s="4">
        <v>43987.5625</v>
      </c>
      <c r="J3579" s="2" t="s">
        <v>781</v>
      </c>
    </row>
    <row r="3580" spans="1:10" ht="135" x14ac:dyDescent="0.25">
      <c r="A3580" s="2" t="s">
        <v>29</v>
      </c>
      <c r="B3580" s="2" t="s">
        <v>5418</v>
      </c>
      <c r="C3580" s="2" t="s">
        <v>5419</v>
      </c>
      <c r="D3580" s="2" t="s">
        <v>5417</v>
      </c>
      <c r="E3580" s="2" t="s">
        <v>54</v>
      </c>
      <c r="F3580" s="3">
        <v>42137</v>
      </c>
      <c r="G3580" s="2" t="str">
        <f>"9780804795371"</f>
        <v>9780804795371</v>
      </c>
      <c r="H3580" s="2" t="s">
        <v>14</v>
      </c>
      <c r="I3580" s="4">
        <v>43599.835416666669</v>
      </c>
      <c r="J3580" s="2" t="s">
        <v>5420</v>
      </c>
    </row>
    <row r="3581" spans="1:10" ht="135" x14ac:dyDescent="0.25">
      <c r="A3581" s="2" t="s">
        <v>29</v>
      </c>
      <c r="B3581" s="2" t="s">
        <v>6925</v>
      </c>
      <c r="C3581" s="2" t="s">
        <v>6926</v>
      </c>
      <c r="D3581" s="2" t="s">
        <v>6924</v>
      </c>
      <c r="E3581" s="2" t="s">
        <v>156</v>
      </c>
      <c r="F3581" s="3">
        <v>43416</v>
      </c>
      <c r="G3581" s="2" t="str">
        <f>"9781469646855"</f>
        <v>9781469646855</v>
      </c>
      <c r="H3581" s="2" t="s">
        <v>14</v>
      </c>
      <c r="I3581" s="4">
        <v>43475.388888888891</v>
      </c>
      <c r="J3581" s="2" t="s">
        <v>6927</v>
      </c>
    </row>
    <row r="3582" spans="1:10" ht="135" x14ac:dyDescent="0.25">
      <c r="A3582" s="2" t="s">
        <v>29</v>
      </c>
      <c r="B3582" s="2" t="s">
        <v>6842</v>
      </c>
      <c r="C3582" s="2" t="s">
        <v>6843</v>
      </c>
      <c r="D3582" s="2" t="s">
        <v>6841</v>
      </c>
      <c r="E3582" s="2" t="s">
        <v>322</v>
      </c>
      <c r="F3582" s="3">
        <v>42125</v>
      </c>
      <c r="G3582" s="2" t="str">
        <f>"9780820348360"</f>
        <v>9780820348360</v>
      </c>
      <c r="H3582" s="2" t="s">
        <v>14</v>
      </c>
      <c r="I3582" s="4">
        <v>43482.517361111109</v>
      </c>
      <c r="J3582" s="2" t="s">
        <v>6844</v>
      </c>
    </row>
    <row r="3583" spans="1:10" ht="150" x14ac:dyDescent="0.25">
      <c r="A3583" s="2" t="s">
        <v>29</v>
      </c>
      <c r="B3583" s="2" t="s">
        <v>13054</v>
      </c>
      <c r="C3583" s="2" t="s">
        <v>13055</v>
      </c>
      <c r="D3583" s="2" t="s">
        <v>13053</v>
      </c>
      <c r="E3583" s="2" t="s">
        <v>130</v>
      </c>
      <c r="F3583" s="3">
        <v>42185</v>
      </c>
      <c r="G3583" s="2" t="str">
        <f>"9780813055268"</f>
        <v>9780813055268</v>
      </c>
      <c r="H3583" s="2" t="s">
        <v>14</v>
      </c>
      <c r="I3583" s="4">
        <v>42746.084027777775</v>
      </c>
      <c r="J3583" s="2" t="s">
        <v>13056</v>
      </c>
    </row>
    <row r="3584" spans="1:10" ht="135" x14ac:dyDescent="0.25">
      <c r="A3584" s="2" t="s">
        <v>29</v>
      </c>
      <c r="B3584" s="2">
        <v>302.23086640000002</v>
      </c>
      <c r="C3584" s="2" t="s">
        <v>1905</v>
      </c>
      <c r="D3584" s="2" t="s">
        <v>1904</v>
      </c>
      <c r="E3584" s="2" t="s">
        <v>1741</v>
      </c>
      <c r="F3584" s="3">
        <v>43195</v>
      </c>
      <c r="G3584" s="2" t="str">
        <f>"9781838608996"</f>
        <v>9781838608996</v>
      </c>
      <c r="H3584" s="2" t="s">
        <v>14</v>
      </c>
      <c r="I3584" s="4">
        <v>43922.39166666667</v>
      </c>
      <c r="J3584" s="2" t="s">
        <v>1906</v>
      </c>
    </row>
    <row r="3585" spans="1:10" ht="135" x14ac:dyDescent="0.25">
      <c r="A3585" s="2" t="s">
        <v>29</v>
      </c>
      <c r="B3585" s="2">
        <v>302.23</v>
      </c>
      <c r="D3585" s="2" t="s">
        <v>118</v>
      </c>
      <c r="E3585" s="2" t="s">
        <v>73</v>
      </c>
      <c r="F3585" s="3">
        <v>43900</v>
      </c>
      <c r="G3585" s="2" t="str">
        <f>"9781452961224"</f>
        <v>9781452961224</v>
      </c>
      <c r="H3585" s="2" t="s">
        <v>14</v>
      </c>
      <c r="I3585" s="4">
        <v>44069.817361111112</v>
      </c>
      <c r="J3585" s="2" t="s">
        <v>119</v>
      </c>
    </row>
    <row r="3586" spans="1:10" ht="135" x14ac:dyDescent="0.25">
      <c r="A3586" s="2" t="s">
        <v>29</v>
      </c>
      <c r="B3586" s="2">
        <v>305.40960000000001</v>
      </c>
      <c r="C3586" s="2" t="s">
        <v>3334</v>
      </c>
      <c r="D3586" s="2" t="s">
        <v>3333</v>
      </c>
      <c r="E3586" s="2" t="s">
        <v>46</v>
      </c>
      <c r="F3586" s="3">
        <v>43617</v>
      </c>
      <c r="G3586" s="2" t="str">
        <f>"9781496214898"</f>
        <v>9781496214898</v>
      </c>
      <c r="H3586" s="2" t="s">
        <v>14</v>
      </c>
      <c r="I3586" s="4">
        <v>43789.45208333333</v>
      </c>
      <c r="J3586" s="2" t="s">
        <v>3335</v>
      </c>
    </row>
    <row r="3587" spans="1:10" ht="135" x14ac:dyDescent="0.25">
      <c r="A3587" s="2" t="s">
        <v>29</v>
      </c>
      <c r="B3587" s="2">
        <v>305.23</v>
      </c>
      <c r="C3587" s="2" t="s">
        <v>11169</v>
      </c>
      <c r="D3587" s="2" t="s">
        <v>11168</v>
      </c>
      <c r="E3587" s="2" t="s">
        <v>80</v>
      </c>
      <c r="F3587" s="3">
        <v>41988</v>
      </c>
      <c r="G3587" s="2" t="str">
        <f>"9783653031553"</f>
        <v>9783653031553</v>
      </c>
      <c r="H3587" s="2" t="s">
        <v>14</v>
      </c>
      <c r="I3587" s="4">
        <v>43011.395138888889</v>
      </c>
      <c r="J3587" s="2" t="s">
        <v>11170</v>
      </c>
    </row>
    <row r="3588" spans="1:10" ht="135" x14ac:dyDescent="0.25">
      <c r="A3588" s="2" t="s">
        <v>29</v>
      </c>
      <c r="B3588" s="2">
        <v>305.42</v>
      </c>
      <c r="C3588" s="2" t="s">
        <v>12139</v>
      </c>
      <c r="D3588" s="2" t="s">
        <v>12138</v>
      </c>
      <c r="E3588" s="2" t="s">
        <v>322</v>
      </c>
      <c r="F3588" s="3">
        <v>42338</v>
      </c>
      <c r="G3588" s="2" t="str">
        <f>"9780820348803"</f>
        <v>9780820348803</v>
      </c>
      <c r="H3588" s="2" t="s">
        <v>14</v>
      </c>
      <c r="I3588" s="4">
        <v>42845.481249999997</v>
      </c>
      <c r="J3588" s="2" t="s">
        <v>12140</v>
      </c>
    </row>
    <row r="3589" spans="1:10" ht="135" x14ac:dyDescent="0.25">
      <c r="A3589" s="2" t="s">
        <v>29</v>
      </c>
      <c r="B3589" s="2">
        <v>306.87530943090201</v>
      </c>
      <c r="C3589" s="2" t="s">
        <v>12440</v>
      </c>
      <c r="D3589" s="2" t="s">
        <v>12439</v>
      </c>
      <c r="E3589" s="2" t="s">
        <v>6704</v>
      </c>
      <c r="F3589" s="3">
        <v>41289</v>
      </c>
      <c r="G3589" s="2" t="str">
        <f>"9780801467851"</f>
        <v>9780801467851</v>
      </c>
      <c r="H3589" s="2" t="s">
        <v>14</v>
      </c>
      <c r="I3589" s="4">
        <v>42806.813888888886</v>
      </c>
      <c r="J3589" s="2" t="s">
        <v>12441</v>
      </c>
    </row>
    <row r="3590" spans="1:10" ht="135" x14ac:dyDescent="0.25">
      <c r="A3590" s="2" t="s">
        <v>29</v>
      </c>
      <c r="B3590" s="2">
        <v>365.97300000000001</v>
      </c>
      <c r="C3590" s="2" t="s">
        <v>2411</v>
      </c>
      <c r="D3590" s="2" t="s">
        <v>2410</v>
      </c>
      <c r="E3590" s="2" t="s">
        <v>73</v>
      </c>
      <c r="F3590" s="3">
        <v>43550</v>
      </c>
      <c r="G3590" s="2" t="str">
        <f>"9781452960876"</f>
        <v>9781452960876</v>
      </c>
      <c r="H3590" s="2" t="s">
        <v>14</v>
      </c>
      <c r="I3590" s="4">
        <v>43887.463888888888</v>
      </c>
      <c r="J3590" s="2" t="s">
        <v>2412</v>
      </c>
    </row>
    <row r="3591" spans="1:10" ht="135" x14ac:dyDescent="0.25">
      <c r="A3591" s="2" t="s">
        <v>29</v>
      </c>
      <c r="B3591" s="2" t="s">
        <v>3943</v>
      </c>
      <c r="C3591" s="2" t="s">
        <v>3944</v>
      </c>
      <c r="D3591" s="2" t="s">
        <v>3942</v>
      </c>
      <c r="E3591" s="2" t="s">
        <v>531</v>
      </c>
      <c r="F3591" s="3">
        <v>42648</v>
      </c>
      <c r="G3591" s="2" t="str">
        <f>"9780809335077"</f>
        <v>9780809335077</v>
      </c>
      <c r="H3591" s="2" t="s">
        <v>14</v>
      </c>
      <c r="I3591" s="4">
        <v>43735.811805555553</v>
      </c>
      <c r="J3591" s="2" t="s">
        <v>3945</v>
      </c>
    </row>
    <row r="3592" spans="1:10" ht="135" x14ac:dyDescent="0.25">
      <c r="A3592" s="2" t="s">
        <v>29</v>
      </c>
      <c r="B3592" s="2">
        <v>305.42</v>
      </c>
      <c r="C3592" s="2" t="s">
        <v>6942</v>
      </c>
      <c r="D3592" s="2" t="s">
        <v>6941</v>
      </c>
      <c r="E3592" s="2" t="s">
        <v>46</v>
      </c>
      <c r="F3592" s="3">
        <v>43221</v>
      </c>
      <c r="G3592" s="2" t="str">
        <f>"9781496207357"</f>
        <v>9781496207357</v>
      </c>
      <c r="H3592" s="2" t="s">
        <v>14</v>
      </c>
      <c r="I3592" s="4">
        <v>43473.893750000003</v>
      </c>
      <c r="J3592" s="2" t="s">
        <v>6943</v>
      </c>
    </row>
    <row r="3593" spans="1:10" ht="135" x14ac:dyDescent="0.25">
      <c r="A3593" s="2" t="s">
        <v>29</v>
      </c>
      <c r="B3593" s="2">
        <v>394.15095135000001</v>
      </c>
      <c r="C3593" s="2" t="s">
        <v>5448</v>
      </c>
      <c r="D3593" s="2" t="s">
        <v>5447</v>
      </c>
      <c r="E3593" s="2" t="s">
        <v>856</v>
      </c>
      <c r="F3593" s="3">
        <v>41529</v>
      </c>
      <c r="G3593" s="2" t="str">
        <f>"9780295804873"</f>
        <v>9780295804873</v>
      </c>
      <c r="H3593" s="2" t="s">
        <v>14</v>
      </c>
      <c r="I3593" s="4">
        <v>43598.497916666667</v>
      </c>
      <c r="J3593" s="2" t="s">
        <v>5449</v>
      </c>
    </row>
    <row r="3594" spans="1:10" ht="135" x14ac:dyDescent="0.25">
      <c r="A3594" s="2" t="s">
        <v>29</v>
      </c>
      <c r="B3594" s="2">
        <v>364.60899607291998</v>
      </c>
      <c r="C3594" s="2" t="s">
        <v>6918</v>
      </c>
      <c r="D3594" s="2" t="s">
        <v>6917</v>
      </c>
      <c r="E3594" s="2" t="s">
        <v>322</v>
      </c>
      <c r="F3594" s="3">
        <v>43070</v>
      </c>
      <c r="G3594" s="2" t="str">
        <f>"9780820351711"</f>
        <v>9780820351711</v>
      </c>
      <c r="H3594" s="2" t="s">
        <v>14</v>
      </c>
      <c r="I3594" s="4">
        <v>43476.643055555556</v>
      </c>
      <c r="J3594" s="2" t="s">
        <v>6919</v>
      </c>
    </row>
    <row r="3595" spans="1:10" ht="135" x14ac:dyDescent="0.25">
      <c r="A3595" s="2" t="s">
        <v>29</v>
      </c>
      <c r="B3595" s="2">
        <v>306.48</v>
      </c>
      <c r="C3595" s="2" t="s">
        <v>285</v>
      </c>
      <c r="D3595" s="2" t="s">
        <v>283</v>
      </c>
      <c r="E3595" s="2" t="s">
        <v>284</v>
      </c>
      <c r="F3595" s="3">
        <v>43738</v>
      </c>
      <c r="G3595" s="2" t="str">
        <f>"9780824880996"</f>
        <v>9780824880996</v>
      </c>
      <c r="H3595" s="2" t="s">
        <v>14</v>
      </c>
      <c r="I3595" s="4">
        <v>44047.48333333333</v>
      </c>
      <c r="J3595" s="2" t="s">
        <v>286</v>
      </c>
    </row>
    <row r="3596" spans="1:10" ht="135" x14ac:dyDescent="0.25">
      <c r="A3596" s="2" t="s">
        <v>29</v>
      </c>
      <c r="B3596" s="2">
        <v>302.23086640000002</v>
      </c>
      <c r="C3596" s="2" t="s">
        <v>10062</v>
      </c>
      <c r="D3596" s="2" t="s">
        <v>10061</v>
      </c>
      <c r="E3596" s="2" t="s">
        <v>221</v>
      </c>
      <c r="F3596" s="3">
        <v>40603</v>
      </c>
      <c r="G3596" s="2" t="str">
        <f>"9789888053728"</f>
        <v>9789888053728</v>
      </c>
      <c r="H3596" s="2" t="s">
        <v>14</v>
      </c>
      <c r="I3596" s="4">
        <v>43106.634722222225</v>
      </c>
      <c r="J3596" s="2" t="s">
        <v>10063</v>
      </c>
    </row>
    <row r="3597" spans="1:10" ht="135" x14ac:dyDescent="0.25">
      <c r="A3597" s="2" t="s">
        <v>29</v>
      </c>
      <c r="B3597" s="2">
        <v>306.76010000000002</v>
      </c>
      <c r="C3597" s="2" t="s">
        <v>6287</v>
      </c>
      <c r="D3597" s="2" t="s">
        <v>6286</v>
      </c>
      <c r="E3597" s="2" t="s">
        <v>46</v>
      </c>
      <c r="F3597" s="3">
        <v>43556</v>
      </c>
      <c r="G3597" s="2" t="str">
        <f>"9781496213716"</f>
        <v>9781496213716</v>
      </c>
      <c r="H3597" s="2" t="s">
        <v>14</v>
      </c>
      <c r="I3597" s="4">
        <v>43526.751388888886</v>
      </c>
      <c r="J3597" s="2" t="s">
        <v>6288</v>
      </c>
    </row>
    <row r="3598" spans="1:10" ht="135" x14ac:dyDescent="0.25">
      <c r="A3598" s="2" t="s">
        <v>29</v>
      </c>
      <c r="B3598" s="2">
        <v>306.76010000000002</v>
      </c>
      <c r="C3598" s="2" t="s">
        <v>3859</v>
      </c>
      <c r="D3598" s="2" t="s">
        <v>3858</v>
      </c>
      <c r="E3598" s="2" t="s">
        <v>856</v>
      </c>
      <c r="F3598" s="3">
        <v>43055</v>
      </c>
      <c r="G3598" s="2" t="str">
        <f>"9780295742595"</f>
        <v>9780295742595</v>
      </c>
      <c r="H3598" s="2" t="s">
        <v>14</v>
      </c>
      <c r="I3598" s="4">
        <v>43749.392361111109</v>
      </c>
      <c r="J3598" s="2" t="s">
        <v>3860</v>
      </c>
    </row>
    <row r="3599" spans="1:10" ht="135" x14ac:dyDescent="0.25">
      <c r="A3599" s="2" t="s">
        <v>29</v>
      </c>
      <c r="B3599" s="2">
        <v>306.76094309040002</v>
      </c>
      <c r="C3599" s="2" t="s">
        <v>8666</v>
      </c>
      <c r="D3599" s="2" t="s">
        <v>8664</v>
      </c>
      <c r="E3599" s="2" t="s">
        <v>8665</v>
      </c>
      <c r="F3599" s="3">
        <v>42549</v>
      </c>
      <c r="G3599" s="2" t="str">
        <f>"9781939594105"</f>
        <v>9781939594105</v>
      </c>
      <c r="H3599" s="2" t="s">
        <v>14</v>
      </c>
      <c r="I3599" s="4">
        <v>43272.59375</v>
      </c>
      <c r="J3599" s="2" t="s">
        <v>8667</v>
      </c>
    </row>
    <row r="3600" spans="1:10" ht="135" x14ac:dyDescent="0.25">
      <c r="A3600" s="2" t="s">
        <v>29</v>
      </c>
      <c r="B3600" s="2">
        <v>306.76010000000002</v>
      </c>
      <c r="C3600" s="2" t="s">
        <v>10616</v>
      </c>
      <c r="D3600" s="2" t="s">
        <v>10615</v>
      </c>
      <c r="E3600" s="2" t="s">
        <v>54</v>
      </c>
      <c r="F3600" s="3">
        <v>42690</v>
      </c>
      <c r="G3600" s="2" t="str">
        <f>"9781503600461"</f>
        <v>9781503600461</v>
      </c>
      <c r="H3600" s="2" t="s">
        <v>14</v>
      </c>
      <c r="I3600" s="4">
        <v>43046.713194444441</v>
      </c>
      <c r="J3600" s="2" t="s">
        <v>10617</v>
      </c>
    </row>
    <row r="3601" spans="1:10" ht="135" x14ac:dyDescent="0.25">
      <c r="A3601" s="2" t="s">
        <v>29</v>
      </c>
      <c r="B3601" s="2">
        <v>305.8</v>
      </c>
      <c r="C3601" s="2" t="s">
        <v>6980</v>
      </c>
      <c r="D3601" s="2" t="s">
        <v>6979</v>
      </c>
      <c r="E3601" s="2" t="s">
        <v>235</v>
      </c>
      <c r="F3601" s="3">
        <v>42087</v>
      </c>
      <c r="G3601" s="2" t="str">
        <f>"9781440829772"</f>
        <v>9781440829772</v>
      </c>
      <c r="H3601" s="2" t="s">
        <v>14</v>
      </c>
      <c r="I3601" s="4">
        <v>43469.567361111112</v>
      </c>
      <c r="J3601" s="2" t="s">
        <v>6981</v>
      </c>
    </row>
    <row r="3602" spans="1:10" ht="135" x14ac:dyDescent="0.25">
      <c r="A3602" s="2" t="s">
        <v>29</v>
      </c>
      <c r="B3602" s="2">
        <v>303.40994410000002</v>
      </c>
      <c r="C3602" s="2" t="s">
        <v>4778</v>
      </c>
      <c r="D3602" s="2" t="s">
        <v>4777</v>
      </c>
      <c r="E3602" s="2" t="s">
        <v>2504</v>
      </c>
      <c r="F3602" s="3">
        <v>39995</v>
      </c>
      <c r="G3602" s="2" t="str">
        <f>"9781742230948"</f>
        <v>9781742230948</v>
      </c>
      <c r="H3602" s="2" t="s">
        <v>14</v>
      </c>
      <c r="I3602" s="4">
        <v>43627.643750000003</v>
      </c>
      <c r="J3602" s="2" t="s">
        <v>4779</v>
      </c>
    </row>
    <row r="3603" spans="1:10" ht="135" x14ac:dyDescent="0.25">
      <c r="A3603" s="2" t="s">
        <v>29</v>
      </c>
      <c r="B3603" s="2" t="s">
        <v>12570</v>
      </c>
      <c r="C3603" s="2" t="s">
        <v>12571</v>
      </c>
      <c r="D3603" s="2" t="s">
        <v>12569</v>
      </c>
      <c r="E3603" s="2" t="s">
        <v>2099</v>
      </c>
      <c r="F3603" s="3">
        <v>42388</v>
      </c>
      <c r="G3603" s="2" t="str">
        <f>"9781119045076"</f>
        <v>9781119045076</v>
      </c>
      <c r="H3603" s="2" t="s">
        <v>14</v>
      </c>
      <c r="I3603" s="4">
        <v>42794.887499999997</v>
      </c>
      <c r="J3603" s="2" t="s">
        <v>12572</v>
      </c>
    </row>
    <row r="3604" spans="1:10" ht="165" x14ac:dyDescent="0.25">
      <c r="A3604" s="2" t="s">
        <v>29</v>
      </c>
      <c r="B3604" s="2">
        <v>363.34809730000001</v>
      </c>
      <c r="C3604" s="2" t="s">
        <v>4826</v>
      </c>
      <c r="D3604" s="2" t="s">
        <v>4825</v>
      </c>
      <c r="E3604" s="2" t="s">
        <v>526</v>
      </c>
      <c r="F3604" s="3">
        <v>43327</v>
      </c>
      <c r="G3604" s="2" t="str">
        <f>"9781477316122"</f>
        <v>9781477316122</v>
      </c>
      <c r="H3604" s="2" t="s">
        <v>14</v>
      </c>
      <c r="I3604" s="4">
        <v>43623.822916666664</v>
      </c>
      <c r="J3604" s="2" t="s">
        <v>4827</v>
      </c>
    </row>
    <row r="3605" spans="1:10" ht="135" x14ac:dyDescent="0.25">
      <c r="A3605" s="2" t="s">
        <v>29</v>
      </c>
      <c r="B3605" s="2">
        <v>362.87561095693002</v>
      </c>
      <c r="C3605" s="2" t="s">
        <v>4125</v>
      </c>
      <c r="D3605" s="2" t="s">
        <v>4124</v>
      </c>
      <c r="E3605" s="2" t="s">
        <v>216</v>
      </c>
      <c r="F3605" s="3">
        <v>43374</v>
      </c>
      <c r="G3605" s="2" t="str">
        <f>"9781438471198"</f>
        <v>9781438471198</v>
      </c>
      <c r="H3605" s="2" t="s">
        <v>14</v>
      </c>
      <c r="I3605" s="4">
        <v>43710.974999999999</v>
      </c>
      <c r="J3605" s="2" t="s">
        <v>4126</v>
      </c>
    </row>
    <row r="3606" spans="1:10" ht="135" x14ac:dyDescent="0.25">
      <c r="A3606" s="2" t="s">
        <v>29</v>
      </c>
      <c r="B3606" s="2" t="s">
        <v>9976</v>
      </c>
      <c r="C3606" s="2" t="s">
        <v>9977</v>
      </c>
      <c r="D3606" s="2" t="s">
        <v>9975</v>
      </c>
      <c r="E3606" s="2" t="s">
        <v>54</v>
      </c>
      <c r="F3606" s="3">
        <v>41724</v>
      </c>
      <c r="G3606" s="2" t="str">
        <f>"9780804790833"</f>
        <v>9780804790833</v>
      </c>
      <c r="H3606" s="2" t="s">
        <v>14</v>
      </c>
      <c r="I3606" s="4">
        <v>43115.433333333334</v>
      </c>
      <c r="J3606" s="2" t="s">
        <v>9978</v>
      </c>
    </row>
    <row r="3607" spans="1:10" ht="150" x14ac:dyDescent="0.25">
      <c r="A3607" s="2" t="s">
        <v>29</v>
      </c>
      <c r="C3607" s="2" t="s">
        <v>2777</v>
      </c>
      <c r="D3607" s="2" t="s">
        <v>2776</v>
      </c>
      <c r="E3607" s="2" t="s">
        <v>578</v>
      </c>
      <c r="F3607" s="3">
        <v>43802</v>
      </c>
      <c r="G3607" s="2" t="str">
        <f>"9780252051791"</f>
        <v>9780252051791</v>
      </c>
      <c r="H3607" s="2" t="s">
        <v>14</v>
      </c>
      <c r="I3607" s="4">
        <v>43856.468055555553</v>
      </c>
      <c r="J3607" s="2" t="s">
        <v>2778</v>
      </c>
    </row>
    <row r="3608" spans="1:10" ht="135" x14ac:dyDescent="0.25">
      <c r="A3608" s="2" t="s">
        <v>29</v>
      </c>
      <c r="B3608" s="2">
        <v>306.60951</v>
      </c>
      <c r="C3608" s="2" t="s">
        <v>1082</v>
      </c>
      <c r="D3608" s="2" t="s">
        <v>8858</v>
      </c>
      <c r="E3608" s="2" t="s">
        <v>152</v>
      </c>
      <c r="F3608" s="3">
        <v>42796</v>
      </c>
      <c r="G3608" s="2" t="str">
        <f>"9789811024375"</f>
        <v>9789811024375</v>
      </c>
      <c r="H3608" s="2" t="s">
        <v>14</v>
      </c>
      <c r="I3608" s="4">
        <v>43245.642361111109</v>
      </c>
      <c r="J3608" s="2" t="s">
        <v>8859</v>
      </c>
    </row>
    <row r="3609" spans="1:10" ht="135" x14ac:dyDescent="0.25">
      <c r="A3609" s="2" t="s">
        <v>29</v>
      </c>
      <c r="B3609" s="2" t="s">
        <v>2225</v>
      </c>
      <c r="C3609" s="2" t="s">
        <v>2226</v>
      </c>
      <c r="D3609" s="2" t="s">
        <v>2224</v>
      </c>
      <c r="E3609" s="2" t="s">
        <v>578</v>
      </c>
      <c r="F3609" s="3">
        <v>39416</v>
      </c>
      <c r="G3609" s="2" t="str">
        <f>"9780252090387"</f>
        <v>9780252090387</v>
      </c>
      <c r="H3609" s="2" t="s">
        <v>14</v>
      </c>
      <c r="I3609" s="4">
        <v>43899.635416666664</v>
      </c>
      <c r="J3609" s="2" t="s">
        <v>2227</v>
      </c>
    </row>
    <row r="3610" spans="1:10" ht="210" x14ac:dyDescent="0.25">
      <c r="A3610" s="2" t="s">
        <v>29</v>
      </c>
      <c r="B3610" s="2">
        <v>305.30959999999999</v>
      </c>
      <c r="C3610" s="2" t="s">
        <v>7419</v>
      </c>
      <c r="D3610" s="2" t="s">
        <v>7418</v>
      </c>
      <c r="E3610" s="2" t="s">
        <v>230</v>
      </c>
      <c r="F3610" s="3">
        <v>42936</v>
      </c>
      <c r="G3610" s="2" t="str">
        <f>"9782869787353"</f>
        <v>9782869787353</v>
      </c>
      <c r="H3610" s="2" t="s">
        <v>14</v>
      </c>
      <c r="I3610" s="4">
        <v>43417.46597222222</v>
      </c>
      <c r="J3610" s="2" t="s">
        <v>7420</v>
      </c>
    </row>
    <row r="3611" spans="1:10" ht="135" x14ac:dyDescent="0.25">
      <c r="A3611" s="2" t="s">
        <v>29</v>
      </c>
      <c r="B3611" s="2">
        <v>305.40973000000002</v>
      </c>
      <c r="C3611" s="2" t="s">
        <v>6635</v>
      </c>
      <c r="D3611" s="2" t="s">
        <v>6634</v>
      </c>
      <c r="E3611" s="2" t="s">
        <v>578</v>
      </c>
      <c r="F3611" s="3">
        <v>43361</v>
      </c>
      <c r="G3611" s="2" t="str">
        <f>"9780252050749"</f>
        <v>9780252050749</v>
      </c>
      <c r="H3611" s="2" t="s">
        <v>14</v>
      </c>
      <c r="I3611" s="4">
        <v>43501.810416666667</v>
      </c>
      <c r="J3611" s="2" t="s">
        <v>6636</v>
      </c>
    </row>
    <row r="3612" spans="1:10" ht="135" x14ac:dyDescent="0.25">
      <c r="A3612" s="2" t="s">
        <v>29</v>
      </c>
      <c r="B3612" s="2">
        <v>305.42096199999997</v>
      </c>
      <c r="C3612" s="2" t="s">
        <v>7914</v>
      </c>
      <c r="D3612" s="2" t="s">
        <v>7913</v>
      </c>
      <c r="E3612" s="2" t="s">
        <v>310</v>
      </c>
      <c r="F3612" s="3">
        <v>42508</v>
      </c>
      <c r="G3612" s="2" t="str">
        <f>"9780815653752"</f>
        <v>9780815653752</v>
      </c>
      <c r="H3612" s="2" t="s">
        <v>14</v>
      </c>
      <c r="I3612" s="4">
        <v>43376.605555555558</v>
      </c>
      <c r="J3612" s="2" t="s">
        <v>7915</v>
      </c>
    </row>
    <row r="3613" spans="1:10" ht="135" x14ac:dyDescent="0.25">
      <c r="A3613" s="2" t="s">
        <v>29</v>
      </c>
      <c r="B3613" s="2">
        <v>305.30973</v>
      </c>
      <c r="C3613" s="2" t="s">
        <v>10541</v>
      </c>
      <c r="D3613" s="2" t="s">
        <v>10540</v>
      </c>
      <c r="E3613" s="2" t="s">
        <v>216</v>
      </c>
      <c r="F3613" s="3">
        <v>42501</v>
      </c>
      <c r="G3613" s="2" t="str">
        <f>"9781438460499"</f>
        <v>9781438460499</v>
      </c>
      <c r="H3613" s="2" t="s">
        <v>14</v>
      </c>
      <c r="I3613" s="4">
        <v>43049.820833333331</v>
      </c>
      <c r="J3613" s="2" t="s">
        <v>10542</v>
      </c>
    </row>
    <row r="3614" spans="1:10" ht="135" x14ac:dyDescent="0.25">
      <c r="A3614" s="2" t="s">
        <v>29</v>
      </c>
      <c r="B3614" s="2">
        <v>305.8</v>
      </c>
      <c r="C3614" s="2" t="s">
        <v>12115</v>
      </c>
      <c r="D3614" s="2" t="s">
        <v>12114</v>
      </c>
      <c r="E3614" s="2" t="s">
        <v>216</v>
      </c>
      <c r="F3614" s="3">
        <v>41913</v>
      </c>
      <c r="G3614" s="2" t="str">
        <f>"9781438452777"</f>
        <v>9781438452777</v>
      </c>
      <c r="H3614" s="2" t="s">
        <v>14</v>
      </c>
      <c r="I3614" s="4">
        <v>42850.37777777778</v>
      </c>
      <c r="J3614" s="2" t="s">
        <v>12116</v>
      </c>
    </row>
    <row r="3615" spans="1:10" ht="135" x14ac:dyDescent="0.25">
      <c r="A3615" s="2" t="s">
        <v>29</v>
      </c>
      <c r="B3615" s="2" t="s">
        <v>1284</v>
      </c>
      <c r="C3615" s="2" t="s">
        <v>3843</v>
      </c>
      <c r="D3615" s="2" t="s">
        <v>7743</v>
      </c>
      <c r="E3615" s="2" t="s">
        <v>531</v>
      </c>
      <c r="F3615" s="3">
        <v>43068</v>
      </c>
      <c r="G3615" s="2" t="str">
        <f>"9780809336241"</f>
        <v>9780809336241</v>
      </c>
      <c r="H3615" s="2" t="s">
        <v>14</v>
      </c>
      <c r="I3615" s="4">
        <v>43393.631249999999</v>
      </c>
      <c r="J3615" s="2" t="s">
        <v>7744</v>
      </c>
    </row>
    <row r="3616" spans="1:10" ht="135" x14ac:dyDescent="0.25">
      <c r="A3616" s="2" t="s">
        <v>29</v>
      </c>
      <c r="B3616" s="2" t="s">
        <v>6240</v>
      </c>
      <c r="C3616" s="2" t="s">
        <v>6241</v>
      </c>
      <c r="D3616" s="2" t="s">
        <v>6239</v>
      </c>
      <c r="E3616" s="2" t="s">
        <v>322</v>
      </c>
      <c r="F3616" s="3">
        <v>42231</v>
      </c>
      <c r="G3616" s="2" t="str">
        <f>"9780820348193"</f>
        <v>9780820348193</v>
      </c>
      <c r="H3616" s="2" t="s">
        <v>14</v>
      </c>
      <c r="I3616" s="4">
        <v>43530.600694444445</v>
      </c>
      <c r="J3616" s="2" t="s">
        <v>6242</v>
      </c>
    </row>
    <row r="3617" spans="1:10" ht="135" x14ac:dyDescent="0.25">
      <c r="A3617" s="2" t="s">
        <v>29</v>
      </c>
      <c r="B3617" s="2">
        <v>304.80958099999998</v>
      </c>
      <c r="C3617" s="2" t="s">
        <v>153</v>
      </c>
      <c r="D3617" s="2" t="s">
        <v>2874</v>
      </c>
      <c r="E3617" s="2" t="s">
        <v>37</v>
      </c>
      <c r="F3617" s="3">
        <v>42786</v>
      </c>
      <c r="G3617" s="2" t="str">
        <f>"9783319407753"</f>
        <v>9783319407753</v>
      </c>
      <c r="H3617" s="2" t="s">
        <v>14</v>
      </c>
      <c r="I3617" s="4">
        <v>43847.45</v>
      </c>
      <c r="J3617" s="2" t="s">
        <v>2875</v>
      </c>
    </row>
    <row r="3618" spans="1:10" ht="135" x14ac:dyDescent="0.25">
      <c r="A3618" s="2" t="s">
        <v>29</v>
      </c>
      <c r="B3618" s="2">
        <v>305.31</v>
      </c>
      <c r="C3618" s="2" t="s">
        <v>4110</v>
      </c>
      <c r="D3618" s="2" t="s">
        <v>4109</v>
      </c>
      <c r="E3618" s="2" t="s">
        <v>69</v>
      </c>
      <c r="F3618" s="3">
        <v>37382</v>
      </c>
      <c r="G3618" s="2" t="str">
        <f>"9780253108852"</f>
        <v>9780253108852</v>
      </c>
      <c r="H3618" s="2" t="s">
        <v>14</v>
      </c>
      <c r="I3618" s="4">
        <v>43712.457638888889</v>
      </c>
      <c r="J3618" s="2" t="s">
        <v>4111</v>
      </c>
    </row>
    <row r="3619" spans="1:10" ht="135" x14ac:dyDescent="0.25">
      <c r="A3619" s="2" t="s">
        <v>29</v>
      </c>
      <c r="B3619" s="2">
        <v>306.36200000000002</v>
      </c>
      <c r="C3619" s="2" t="s">
        <v>153</v>
      </c>
      <c r="D3619" s="2" t="s">
        <v>367</v>
      </c>
      <c r="E3619" s="2" t="s">
        <v>37</v>
      </c>
      <c r="F3619" s="3">
        <v>43357</v>
      </c>
      <c r="G3619" s="2" t="str">
        <f>"9783319906232"</f>
        <v>9783319906232</v>
      </c>
      <c r="H3619" s="2" t="s">
        <v>14</v>
      </c>
      <c r="I3619" s="4">
        <v>44033.462500000001</v>
      </c>
      <c r="J3619" s="2" t="s">
        <v>368</v>
      </c>
    </row>
    <row r="3620" spans="1:10" ht="165" x14ac:dyDescent="0.25">
      <c r="A3620" s="2" t="s">
        <v>29</v>
      </c>
      <c r="B3620" s="2">
        <v>306.76</v>
      </c>
      <c r="C3620" s="2" t="s">
        <v>1082</v>
      </c>
      <c r="D3620" s="2" t="s">
        <v>2001</v>
      </c>
      <c r="E3620" s="2" t="s">
        <v>37</v>
      </c>
      <c r="F3620" s="3">
        <v>43013</v>
      </c>
      <c r="G3620" s="2" t="str">
        <f>"9783319506180"</f>
        <v>9783319506180</v>
      </c>
      <c r="H3620" s="2" t="s">
        <v>14</v>
      </c>
      <c r="I3620" s="4">
        <v>43918.026388888888</v>
      </c>
      <c r="J3620" s="2" t="s">
        <v>2002</v>
      </c>
    </row>
    <row r="3621" spans="1:10" ht="135" x14ac:dyDescent="0.25">
      <c r="A3621" s="2" t="s">
        <v>29</v>
      </c>
      <c r="B3621" s="2">
        <v>306.09513800000002</v>
      </c>
      <c r="C3621" s="2" t="s">
        <v>7058</v>
      </c>
      <c r="D3621" s="2" t="s">
        <v>7057</v>
      </c>
      <c r="E3621" s="2" t="s">
        <v>856</v>
      </c>
      <c r="F3621" s="3">
        <v>42856</v>
      </c>
      <c r="G3621" s="2" t="str">
        <f>"9780295999432"</f>
        <v>9780295999432</v>
      </c>
      <c r="H3621" s="2" t="s">
        <v>14</v>
      </c>
      <c r="I3621" s="4">
        <v>43453.710416666669</v>
      </c>
      <c r="J3621" s="2" t="s">
        <v>7059</v>
      </c>
    </row>
    <row r="3622" spans="1:10" ht="135" x14ac:dyDescent="0.25">
      <c r="A3622" s="2" t="s">
        <v>29</v>
      </c>
      <c r="B3622" s="2" t="s">
        <v>4418</v>
      </c>
      <c r="C3622" s="2" t="s">
        <v>10363</v>
      </c>
      <c r="D3622" s="2" t="s">
        <v>10362</v>
      </c>
      <c r="E3622" s="2" t="s">
        <v>73</v>
      </c>
      <c r="F3622" s="3">
        <v>41958</v>
      </c>
      <c r="G3622" s="2" t="str">
        <f>"9781452910994"</f>
        <v>9781452910994</v>
      </c>
      <c r="H3622" s="2" t="s">
        <v>14</v>
      </c>
      <c r="I3622" s="4">
        <v>43064.474305555559</v>
      </c>
      <c r="J3622" s="2" t="s">
        <v>10364</v>
      </c>
    </row>
    <row r="3623" spans="1:10" ht="150" x14ac:dyDescent="0.25">
      <c r="A3623" s="2" t="s">
        <v>29</v>
      </c>
      <c r="B3623" s="2">
        <v>364.60948000000002</v>
      </c>
      <c r="C3623" s="2" t="s">
        <v>38</v>
      </c>
      <c r="D3623" s="2" t="s">
        <v>741</v>
      </c>
      <c r="E3623" s="2" t="s">
        <v>17</v>
      </c>
      <c r="F3623" s="3">
        <v>42958</v>
      </c>
      <c r="G3623" s="2" t="str">
        <f>"9781137585295"</f>
        <v>9781137585295</v>
      </c>
      <c r="H3623" s="2" t="s">
        <v>14</v>
      </c>
      <c r="I3623" s="4">
        <v>43993.571527777778</v>
      </c>
      <c r="J3623" s="2" t="s">
        <v>742</v>
      </c>
    </row>
    <row r="3624" spans="1:10" ht="135" x14ac:dyDescent="0.25">
      <c r="A3624" s="2" t="s">
        <v>29</v>
      </c>
      <c r="B3624" s="2">
        <v>364.96800000000002</v>
      </c>
      <c r="C3624" s="2" t="s">
        <v>4884</v>
      </c>
      <c r="D3624" s="2" t="s">
        <v>4883</v>
      </c>
      <c r="E3624" s="2" t="s">
        <v>73</v>
      </c>
      <c r="F3624" s="3">
        <v>42224</v>
      </c>
      <c r="G3624" s="2" t="str">
        <f>"9781452945316"</f>
        <v>9781452945316</v>
      </c>
      <c r="H3624" s="2" t="s">
        <v>14</v>
      </c>
      <c r="I3624" s="4">
        <v>43619.05972222222</v>
      </c>
      <c r="J3624" s="2" t="s">
        <v>4885</v>
      </c>
    </row>
    <row r="3625" spans="1:10" ht="135" x14ac:dyDescent="0.25">
      <c r="A3625" s="2" t="s">
        <v>29</v>
      </c>
      <c r="B3625" s="2" t="s">
        <v>8938</v>
      </c>
      <c r="C3625" s="2" t="s">
        <v>8939</v>
      </c>
      <c r="D3625" s="2" t="s">
        <v>8937</v>
      </c>
      <c r="E3625" s="2" t="s">
        <v>130</v>
      </c>
      <c r="F3625" s="3">
        <v>43165</v>
      </c>
      <c r="G3625" s="2" t="str">
        <f>"9781683400592"</f>
        <v>9781683400592</v>
      </c>
      <c r="H3625" s="2" t="s">
        <v>14</v>
      </c>
      <c r="I3625" s="4">
        <v>43237.581944444442</v>
      </c>
      <c r="J3625" s="2" t="s">
        <v>8940</v>
      </c>
    </row>
    <row r="3626" spans="1:10" ht="135" x14ac:dyDescent="0.25">
      <c r="A3626" s="2" t="s">
        <v>29</v>
      </c>
      <c r="B3626" s="2">
        <v>303.48340000000002</v>
      </c>
      <c r="C3626" s="2" t="s">
        <v>1082</v>
      </c>
      <c r="D3626" s="2" t="s">
        <v>12150</v>
      </c>
      <c r="E3626" s="2" t="s">
        <v>37</v>
      </c>
      <c r="F3626" s="3">
        <v>42767</v>
      </c>
      <c r="G3626" s="2" t="str">
        <f>"9783319493220"</f>
        <v>9783319493220</v>
      </c>
      <c r="H3626" s="2" t="s">
        <v>14</v>
      </c>
      <c r="I3626" s="4">
        <v>42844.524305555555</v>
      </c>
      <c r="J3626" s="2" t="s">
        <v>12151</v>
      </c>
    </row>
    <row r="3627" spans="1:10" ht="135" x14ac:dyDescent="0.25">
      <c r="A3627" s="2" t="s">
        <v>29</v>
      </c>
      <c r="B3627" s="2">
        <v>305.90663999999998</v>
      </c>
      <c r="C3627" s="2" t="s">
        <v>3782</v>
      </c>
      <c r="D3627" s="2" t="s">
        <v>3781</v>
      </c>
      <c r="E3627" s="2" t="s">
        <v>3606</v>
      </c>
      <c r="F3627" s="3">
        <v>42750</v>
      </c>
      <c r="G3627" s="2" t="str">
        <f>"9781608460762"</f>
        <v>9781608460762</v>
      </c>
      <c r="H3627" s="2" t="s">
        <v>14</v>
      </c>
      <c r="I3627" s="4">
        <v>43755.416666666664</v>
      </c>
      <c r="J3627" s="2" t="s">
        <v>3783</v>
      </c>
    </row>
    <row r="3628" spans="1:10" ht="135" x14ac:dyDescent="0.25">
      <c r="A3628" s="2" t="s">
        <v>29</v>
      </c>
      <c r="B3628" s="2">
        <v>301.09764252000002</v>
      </c>
      <c r="C3628" s="2" t="s">
        <v>8119</v>
      </c>
      <c r="D3628" s="2" t="s">
        <v>8118</v>
      </c>
      <c r="E3628" s="2" t="s">
        <v>322</v>
      </c>
      <c r="F3628" s="3">
        <v>42368</v>
      </c>
      <c r="G3628" s="2" t="str">
        <f>"9780820349091"</f>
        <v>9780820349091</v>
      </c>
      <c r="H3628" s="2" t="s">
        <v>14</v>
      </c>
      <c r="I3628" s="4">
        <v>43350.708333333336</v>
      </c>
      <c r="J3628" s="2" t="s">
        <v>8120</v>
      </c>
    </row>
    <row r="3629" spans="1:10" ht="135" x14ac:dyDescent="0.25">
      <c r="A3629" s="2" t="s">
        <v>29</v>
      </c>
      <c r="B3629" s="2">
        <v>307.12160950999998</v>
      </c>
      <c r="C3629" s="2" t="s">
        <v>7872</v>
      </c>
      <c r="D3629" s="2" t="s">
        <v>7871</v>
      </c>
      <c r="E3629" s="2" t="s">
        <v>1869</v>
      </c>
      <c r="F3629" s="3">
        <v>41325</v>
      </c>
      <c r="G3629" s="2" t="str">
        <f>"9781442211339"</f>
        <v>9781442211339</v>
      </c>
      <c r="H3629" s="2" t="s">
        <v>14</v>
      </c>
      <c r="I3629" s="4">
        <v>43382.612500000003</v>
      </c>
      <c r="J3629" s="2" t="s">
        <v>7873</v>
      </c>
    </row>
    <row r="3630" spans="1:10" ht="135" x14ac:dyDescent="0.25">
      <c r="A3630" s="2" t="s">
        <v>29</v>
      </c>
      <c r="B3630" s="2">
        <v>307.10000000000002</v>
      </c>
      <c r="C3630" s="2" t="s">
        <v>4811</v>
      </c>
      <c r="D3630" s="2" t="s">
        <v>4810</v>
      </c>
      <c r="E3630" s="2" t="s">
        <v>130</v>
      </c>
      <c r="F3630" s="3">
        <v>42592</v>
      </c>
      <c r="G3630" s="2" t="str">
        <f>"9780813055848"</f>
        <v>9780813055848</v>
      </c>
      <c r="H3630" s="2" t="s">
        <v>14</v>
      </c>
      <c r="I3630" s="4">
        <v>43623.836111111108</v>
      </c>
      <c r="J3630" s="2" t="s">
        <v>4812</v>
      </c>
    </row>
    <row r="3631" spans="1:10" ht="135" x14ac:dyDescent="0.25">
      <c r="A3631" s="2" t="s">
        <v>29</v>
      </c>
      <c r="B3631" s="2">
        <v>364.10660981609999</v>
      </c>
      <c r="C3631" s="2" t="s">
        <v>8130</v>
      </c>
      <c r="D3631" s="2" t="s">
        <v>8129</v>
      </c>
      <c r="E3631" s="2" t="s">
        <v>156</v>
      </c>
      <c r="F3631" s="3">
        <v>42688</v>
      </c>
      <c r="G3631" s="2" t="str">
        <f>"9781469630328"</f>
        <v>9781469630328</v>
      </c>
      <c r="H3631" s="2" t="s">
        <v>14</v>
      </c>
      <c r="I3631" s="4">
        <v>43349.673611111109</v>
      </c>
      <c r="J3631" s="2" t="s">
        <v>8131</v>
      </c>
    </row>
    <row r="3632" spans="1:10" ht="135" x14ac:dyDescent="0.25">
      <c r="A3632" s="2" t="s">
        <v>29</v>
      </c>
      <c r="B3632" s="2">
        <v>302.22230000000002</v>
      </c>
      <c r="C3632" s="2" t="s">
        <v>7433</v>
      </c>
      <c r="D3632" s="2" t="s">
        <v>7432</v>
      </c>
      <c r="E3632" s="2" t="s">
        <v>69</v>
      </c>
      <c r="F3632" s="3">
        <v>42646</v>
      </c>
      <c r="G3632" s="2" t="str">
        <f>"9780253025142"</f>
        <v>9780253025142</v>
      </c>
      <c r="H3632" s="2" t="s">
        <v>14</v>
      </c>
      <c r="I3632" s="4">
        <v>43416.70208333333</v>
      </c>
      <c r="J3632" s="2" t="s">
        <v>7434</v>
      </c>
    </row>
    <row r="3633" spans="1:10" ht="135" x14ac:dyDescent="0.25">
      <c r="A3633" s="2" t="s">
        <v>29</v>
      </c>
      <c r="B3633" s="2">
        <v>306.36209660903398</v>
      </c>
      <c r="C3633" s="2" t="s">
        <v>4900</v>
      </c>
      <c r="D3633" s="2" t="s">
        <v>4899</v>
      </c>
      <c r="E3633" s="2" t="s">
        <v>69</v>
      </c>
      <c r="F3633" s="3">
        <v>42877</v>
      </c>
      <c r="G3633" s="2" t="str">
        <f>"9780253026026"</f>
        <v>9780253026026</v>
      </c>
      <c r="H3633" s="2" t="s">
        <v>14</v>
      </c>
      <c r="I3633" s="4">
        <v>43619.031944444447</v>
      </c>
      <c r="J3633" s="2" t="s">
        <v>4901</v>
      </c>
    </row>
    <row r="3634" spans="1:10" ht="150" x14ac:dyDescent="0.25">
      <c r="A3634" s="2" t="s">
        <v>29</v>
      </c>
      <c r="B3634" s="2">
        <v>306.36209729820001</v>
      </c>
      <c r="C3634" s="2" t="s">
        <v>9860</v>
      </c>
      <c r="D3634" s="2" t="s">
        <v>9859</v>
      </c>
      <c r="E3634" s="2" t="s">
        <v>216</v>
      </c>
      <c r="F3634" s="3">
        <v>42461</v>
      </c>
      <c r="G3634" s="2" t="str">
        <f>"9781438459189"</f>
        <v>9781438459189</v>
      </c>
      <c r="H3634" s="2" t="s">
        <v>14</v>
      </c>
      <c r="I3634" s="4">
        <v>43124.37222222222</v>
      </c>
      <c r="J3634" s="2" t="s">
        <v>9861</v>
      </c>
    </row>
    <row r="3635" spans="1:10" ht="135" x14ac:dyDescent="0.25">
      <c r="A3635" s="2" t="s">
        <v>29</v>
      </c>
      <c r="B3635" s="2" t="s">
        <v>12712</v>
      </c>
      <c r="C3635" s="2" t="s">
        <v>12713</v>
      </c>
      <c r="D3635" s="2" t="s">
        <v>12711</v>
      </c>
      <c r="E3635" s="2" t="s">
        <v>322</v>
      </c>
      <c r="F3635" s="3">
        <v>42139</v>
      </c>
      <c r="G3635" s="2" t="str">
        <f>"9780820348032"</f>
        <v>9780820348032</v>
      </c>
      <c r="H3635" s="2" t="s">
        <v>14</v>
      </c>
      <c r="I3635" s="4">
        <v>42780.704861111109</v>
      </c>
      <c r="J3635" s="2" t="s">
        <v>12714</v>
      </c>
    </row>
    <row r="3636" spans="1:10" ht="135" x14ac:dyDescent="0.25">
      <c r="A3636" s="2" t="s">
        <v>29</v>
      </c>
      <c r="B3636" s="2" t="s">
        <v>5062</v>
      </c>
      <c r="C3636" s="2" t="s">
        <v>5063</v>
      </c>
      <c r="D3636" s="2" t="s">
        <v>5061</v>
      </c>
      <c r="E3636" s="2" t="s">
        <v>73</v>
      </c>
      <c r="F3636" s="3">
        <v>42062</v>
      </c>
      <c r="G3636" s="2" t="str">
        <f>"9781452943770"</f>
        <v>9781452943770</v>
      </c>
      <c r="H3636" s="2" t="s">
        <v>14</v>
      </c>
      <c r="I3636" s="4">
        <v>43611.701388888891</v>
      </c>
      <c r="J3636" s="2" t="s">
        <v>5064</v>
      </c>
    </row>
    <row r="3637" spans="1:10" ht="135" x14ac:dyDescent="0.25">
      <c r="A3637" s="2" t="s">
        <v>29</v>
      </c>
      <c r="B3637" s="2">
        <v>303.39999999999998</v>
      </c>
      <c r="C3637" s="2" t="s">
        <v>153</v>
      </c>
      <c r="D3637" s="2" t="s">
        <v>1244</v>
      </c>
      <c r="E3637" s="2" t="s">
        <v>84</v>
      </c>
      <c r="F3637" s="3">
        <v>41353</v>
      </c>
      <c r="G3637" s="2" t="str">
        <f>"9789400761285"</f>
        <v>9789400761285</v>
      </c>
      <c r="H3637" s="2" t="s">
        <v>14</v>
      </c>
      <c r="I3637" s="4">
        <v>43953.510416666664</v>
      </c>
      <c r="J3637" s="2" t="s">
        <v>1245</v>
      </c>
    </row>
    <row r="3638" spans="1:10" ht="135" x14ac:dyDescent="0.25">
      <c r="A3638" s="2" t="s">
        <v>29</v>
      </c>
      <c r="B3638" s="2">
        <v>303.48399999999998</v>
      </c>
      <c r="C3638" s="2" t="s">
        <v>153</v>
      </c>
      <c r="D3638" s="2" t="s">
        <v>12677</v>
      </c>
      <c r="E3638" s="2" t="s">
        <v>8755</v>
      </c>
      <c r="F3638" s="3">
        <v>42628</v>
      </c>
      <c r="G3638" s="2" t="str">
        <f>"9783658133818"</f>
        <v>9783658133818</v>
      </c>
      <c r="H3638" s="2" t="s">
        <v>14</v>
      </c>
      <c r="I3638" s="4">
        <v>42783.75277777778</v>
      </c>
      <c r="J3638" s="2" t="s">
        <v>12678</v>
      </c>
    </row>
    <row r="3639" spans="1:10" ht="135" x14ac:dyDescent="0.25">
      <c r="A3639" s="2" t="s">
        <v>29</v>
      </c>
      <c r="B3639" s="2">
        <v>300.10000000000002</v>
      </c>
      <c r="C3639" s="2" t="s">
        <v>1027</v>
      </c>
      <c r="D3639" s="2" t="s">
        <v>1026</v>
      </c>
      <c r="E3639" s="2" t="s">
        <v>585</v>
      </c>
      <c r="F3639" s="3">
        <v>42961</v>
      </c>
      <c r="G3639" s="2" t="str">
        <f>"9780226475318"</f>
        <v>9780226475318</v>
      </c>
      <c r="H3639" s="2" t="s">
        <v>14</v>
      </c>
      <c r="I3639" s="4">
        <v>43968.696527777778</v>
      </c>
      <c r="J3639" s="2" t="s">
        <v>1028</v>
      </c>
    </row>
    <row r="3640" spans="1:10" ht="135" x14ac:dyDescent="0.25">
      <c r="A3640" s="2" t="s">
        <v>29</v>
      </c>
      <c r="B3640" s="2">
        <v>301</v>
      </c>
      <c r="C3640" s="2" t="s">
        <v>153</v>
      </c>
      <c r="D3640" s="2" t="s">
        <v>4982</v>
      </c>
      <c r="E3640" s="2" t="s">
        <v>17</v>
      </c>
      <c r="F3640" s="3">
        <v>42893</v>
      </c>
      <c r="G3640" s="2" t="str">
        <f>"9781137411341"</f>
        <v>9781137411341</v>
      </c>
      <c r="H3640" s="2" t="s">
        <v>14</v>
      </c>
      <c r="I3640" s="4">
        <v>43614.231944444444</v>
      </c>
      <c r="J3640" s="2" t="s">
        <v>4983</v>
      </c>
    </row>
    <row r="3641" spans="1:10" ht="135" x14ac:dyDescent="0.25">
      <c r="A3641" s="2" t="s">
        <v>29</v>
      </c>
      <c r="B3641" s="2">
        <v>305.90691399999997</v>
      </c>
      <c r="C3641" s="2" t="s">
        <v>153</v>
      </c>
      <c r="D3641" s="2" t="s">
        <v>1320</v>
      </c>
      <c r="E3641" s="2" t="s">
        <v>37</v>
      </c>
      <c r="F3641" s="3">
        <v>43161</v>
      </c>
      <c r="G3641" s="2" t="str">
        <f>"9783319717524"</f>
        <v>9783319717524</v>
      </c>
      <c r="H3641" s="2" t="s">
        <v>14</v>
      </c>
      <c r="I3641" s="4">
        <v>43949.448611111111</v>
      </c>
      <c r="J3641" s="2" t="s">
        <v>1321</v>
      </c>
    </row>
    <row r="3642" spans="1:10" ht="165" x14ac:dyDescent="0.25">
      <c r="A3642" s="2" t="s">
        <v>29</v>
      </c>
      <c r="B3642" s="2">
        <v>303.48399999999998</v>
      </c>
      <c r="C3642" s="2" t="s">
        <v>10726</v>
      </c>
      <c r="D3642" s="2" t="s">
        <v>10725</v>
      </c>
      <c r="E3642" s="2" t="s">
        <v>80</v>
      </c>
      <c r="F3642" s="3">
        <v>41988</v>
      </c>
      <c r="G3642" s="2" t="str">
        <f>"9783653021196"</f>
        <v>9783653021196</v>
      </c>
      <c r="H3642" s="2" t="s">
        <v>14</v>
      </c>
      <c r="I3642" s="4">
        <v>43039.432638888888</v>
      </c>
      <c r="J3642" s="2" t="s">
        <v>10727</v>
      </c>
    </row>
    <row r="3643" spans="1:10" ht="135" x14ac:dyDescent="0.25">
      <c r="A3643" s="2" t="s">
        <v>29</v>
      </c>
      <c r="B3643" s="2">
        <v>364.36097560000002</v>
      </c>
      <c r="C3643" s="2" t="s">
        <v>5301</v>
      </c>
      <c r="D3643" s="2" t="s">
        <v>5300</v>
      </c>
      <c r="E3643" s="2" t="s">
        <v>846</v>
      </c>
      <c r="F3643" s="3">
        <v>42702</v>
      </c>
      <c r="G3643" s="2" t="str">
        <f>"9781442663527"</f>
        <v>9781442663527</v>
      </c>
      <c r="H3643" s="2" t="s">
        <v>14</v>
      </c>
      <c r="I3643" s="4">
        <v>43605.938194444447</v>
      </c>
      <c r="J3643" s="2" t="s">
        <v>5302</v>
      </c>
    </row>
    <row r="3644" spans="1:10" ht="135" x14ac:dyDescent="0.25">
      <c r="A3644" s="2" t="s">
        <v>29</v>
      </c>
      <c r="B3644" s="2">
        <v>307.76</v>
      </c>
      <c r="C3644" s="2" t="s">
        <v>11273</v>
      </c>
      <c r="D3644" s="2" t="s">
        <v>11272</v>
      </c>
      <c r="E3644" s="2" t="s">
        <v>627</v>
      </c>
      <c r="F3644" s="3">
        <v>42614</v>
      </c>
      <c r="G3644" s="2" t="str">
        <f>"9789633861264"</f>
        <v>9789633861264</v>
      </c>
      <c r="H3644" s="2" t="s">
        <v>14</v>
      </c>
      <c r="I3644" s="4">
        <v>42995.787499999999</v>
      </c>
      <c r="J3644" s="2" t="s">
        <v>11274</v>
      </c>
    </row>
    <row r="3645" spans="1:10" ht="135" x14ac:dyDescent="0.25">
      <c r="A3645" s="2" t="s">
        <v>29</v>
      </c>
      <c r="B3645" s="2">
        <v>304.2</v>
      </c>
      <c r="C3645" s="2" t="s">
        <v>9034</v>
      </c>
      <c r="D3645" s="2" t="s">
        <v>9033</v>
      </c>
      <c r="E3645" s="2" t="s">
        <v>322</v>
      </c>
      <c r="F3645" s="3">
        <v>42368</v>
      </c>
      <c r="G3645" s="2" t="str">
        <f>"9780820348759"</f>
        <v>9780820348759</v>
      </c>
      <c r="H3645" s="2" t="s">
        <v>14</v>
      </c>
      <c r="I3645" s="4">
        <v>43223.825694444444</v>
      </c>
      <c r="J3645" s="2" t="s">
        <v>9035</v>
      </c>
    </row>
    <row r="3646" spans="1:10" ht="135" x14ac:dyDescent="0.25">
      <c r="A3646" s="2" t="s">
        <v>29</v>
      </c>
      <c r="B3646" s="2">
        <v>305.42</v>
      </c>
      <c r="C3646" s="2" t="s">
        <v>3276</v>
      </c>
      <c r="D3646" s="2" t="s">
        <v>3275</v>
      </c>
      <c r="E3646" s="2" t="s">
        <v>216</v>
      </c>
      <c r="F3646" s="3">
        <v>43617</v>
      </c>
      <c r="G3646" s="2" t="str">
        <f>"9781438474540"</f>
        <v>9781438474540</v>
      </c>
      <c r="H3646" s="2" t="s">
        <v>14</v>
      </c>
      <c r="I3646" s="4">
        <v>43794.007638888892</v>
      </c>
      <c r="J3646" s="2" t="s">
        <v>3277</v>
      </c>
    </row>
    <row r="3647" spans="1:10" ht="135" x14ac:dyDescent="0.25">
      <c r="A3647" s="2" t="s">
        <v>29</v>
      </c>
      <c r="B3647" s="2">
        <v>305.800724</v>
      </c>
      <c r="C3647" s="2" t="s">
        <v>2933</v>
      </c>
      <c r="D3647" s="2" t="s">
        <v>2931</v>
      </c>
      <c r="E3647" s="2" t="s">
        <v>2932</v>
      </c>
      <c r="F3647" s="3">
        <v>41194</v>
      </c>
      <c r="G3647" s="2" t="str">
        <f>"9780759122062"</f>
        <v>9780759122062</v>
      </c>
      <c r="H3647" s="2" t="s">
        <v>14</v>
      </c>
      <c r="I3647" s="4">
        <v>43842.568749999999</v>
      </c>
      <c r="J3647" s="2" t="s">
        <v>2934</v>
      </c>
    </row>
    <row r="3648" spans="1:10" ht="135" x14ac:dyDescent="0.25">
      <c r="A3648" s="2" t="s">
        <v>29</v>
      </c>
      <c r="B3648" s="2">
        <v>302.23</v>
      </c>
      <c r="C3648" s="2" t="s">
        <v>11795</v>
      </c>
      <c r="D3648" s="2" t="s">
        <v>11794</v>
      </c>
      <c r="E3648" s="2" t="s">
        <v>180</v>
      </c>
      <c r="F3648" s="3">
        <v>41295</v>
      </c>
      <c r="G3648" s="2" t="str">
        <f>"9780814743515"</f>
        <v>9780814743515</v>
      </c>
      <c r="H3648" s="2" t="s">
        <v>14</v>
      </c>
      <c r="I3648" s="4">
        <v>42889.654166666667</v>
      </c>
      <c r="J3648" s="2" t="s">
        <v>11796</v>
      </c>
    </row>
    <row r="3649" spans="1:10" ht="135" x14ac:dyDescent="0.25">
      <c r="A3649" s="2" t="s">
        <v>29</v>
      </c>
      <c r="B3649" s="2" t="s">
        <v>12175</v>
      </c>
      <c r="C3649" s="2" t="s">
        <v>12176</v>
      </c>
      <c r="D3649" s="2" t="s">
        <v>12174</v>
      </c>
      <c r="E3649" s="2" t="s">
        <v>54</v>
      </c>
      <c r="F3649" s="3">
        <v>42438</v>
      </c>
      <c r="G3649" s="2" t="str">
        <f>"9780804798556"</f>
        <v>9780804798556</v>
      </c>
      <c r="H3649" s="2" t="s">
        <v>14</v>
      </c>
      <c r="I3649" s="4">
        <v>42838.745138888888</v>
      </c>
      <c r="J3649" s="2" t="s">
        <v>12177</v>
      </c>
    </row>
    <row r="3650" spans="1:10" ht="150" x14ac:dyDescent="0.25">
      <c r="A3650" s="2" t="s">
        <v>29</v>
      </c>
      <c r="B3650" s="2">
        <v>306.76609772</v>
      </c>
      <c r="C3650" s="2" t="s">
        <v>4365</v>
      </c>
      <c r="D3650" s="2" t="s">
        <v>4364</v>
      </c>
      <c r="E3650" s="2" t="s">
        <v>156</v>
      </c>
      <c r="F3650" s="3">
        <v>41736</v>
      </c>
      <c r="G3650" s="2" t="str">
        <f>"9781469615455"</f>
        <v>9781469615455</v>
      </c>
      <c r="H3650" s="2" t="s">
        <v>14</v>
      </c>
      <c r="I3650" s="4">
        <v>43677.393055555556</v>
      </c>
      <c r="J3650" s="2" t="s">
        <v>4366</v>
      </c>
    </row>
    <row r="3651" spans="1:10" ht="165" x14ac:dyDescent="0.25">
      <c r="A3651" s="2" t="s">
        <v>29</v>
      </c>
      <c r="B3651" s="2">
        <v>305.48696999999999</v>
      </c>
      <c r="C3651" s="2" t="s">
        <v>153</v>
      </c>
      <c r="D3651" s="2" t="s">
        <v>8395</v>
      </c>
      <c r="E3651" s="2" t="s">
        <v>37</v>
      </c>
      <c r="F3651" s="3">
        <v>42739</v>
      </c>
      <c r="G3651" s="2" t="str">
        <f>"9783319406763"</f>
        <v>9783319406763</v>
      </c>
      <c r="H3651" s="2" t="s">
        <v>14</v>
      </c>
      <c r="I3651" s="4">
        <v>43313.470833333333</v>
      </c>
      <c r="J3651" s="2" t="s">
        <v>8396</v>
      </c>
    </row>
    <row r="3652" spans="1:10" ht="135" x14ac:dyDescent="0.25">
      <c r="A3652" s="2" t="s">
        <v>29</v>
      </c>
      <c r="B3652" s="2" t="s">
        <v>6565</v>
      </c>
      <c r="C3652" s="2" t="s">
        <v>6566</v>
      </c>
      <c r="D3652" s="2" t="s">
        <v>6564</v>
      </c>
      <c r="E3652" s="2" t="s">
        <v>180</v>
      </c>
      <c r="F3652" s="3">
        <v>42654</v>
      </c>
      <c r="G3652" s="2" t="str">
        <f>"9781479890347"</f>
        <v>9781479890347</v>
      </c>
      <c r="H3652" s="2" t="s">
        <v>14</v>
      </c>
      <c r="I3652" s="4">
        <v>43507.638194444444</v>
      </c>
      <c r="J3652" s="2" t="s">
        <v>6567</v>
      </c>
    </row>
    <row r="3653" spans="1:10" ht="135" x14ac:dyDescent="0.25">
      <c r="A3653" s="2" t="s">
        <v>29</v>
      </c>
      <c r="B3653" s="2">
        <v>302.23</v>
      </c>
      <c r="C3653" s="2" t="s">
        <v>5461</v>
      </c>
      <c r="D3653" s="2" t="s">
        <v>5460</v>
      </c>
      <c r="E3653" s="2" t="s">
        <v>674</v>
      </c>
      <c r="F3653" s="3">
        <v>42586</v>
      </c>
      <c r="G3653" s="2" t="str">
        <f>"9780823271689"</f>
        <v>9780823271689</v>
      </c>
      <c r="H3653" s="2" t="s">
        <v>14</v>
      </c>
      <c r="I3653" s="4">
        <v>43596.734027777777</v>
      </c>
      <c r="J3653" s="2" t="s">
        <v>5462</v>
      </c>
    </row>
    <row r="3654" spans="1:10" ht="135" x14ac:dyDescent="0.25">
      <c r="A3654" s="2" t="s">
        <v>29</v>
      </c>
      <c r="B3654" s="2" t="s">
        <v>11966</v>
      </c>
      <c r="C3654" s="2" t="s">
        <v>2155</v>
      </c>
      <c r="D3654" s="2" t="s">
        <v>11965</v>
      </c>
      <c r="E3654" s="2" t="s">
        <v>578</v>
      </c>
      <c r="F3654" s="3">
        <v>42262</v>
      </c>
      <c r="G3654" s="2" t="str">
        <f>"9780252097690"</f>
        <v>9780252097690</v>
      </c>
      <c r="H3654" s="2" t="s">
        <v>14</v>
      </c>
      <c r="I3654" s="4">
        <v>42867.465277777781</v>
      </c>
      <c r="J3654" s="2" t="s">
        <v>11967</v>
      </c>
    </row>
    <row r="3655" spans="1:10" ht="135" x14ac:dyDescent="0.25">
      <c r="A3655" s="2" t="s">
        <v>29</v>
      </c>
      <c r="B3655" s="2">
        <v>306.091724</v>
      </c>
      <c r="C3655" s="2" t="s">
        <v>4850</v>
      </c>
      <c r="D3655" s="2" t="s">
        <v>4849</v>
      </c>
      <c r="E3655" s="2" t="s">
        <v>322</v>
      </c>
      <c r="F3655" s="3">
        <v>43539</v>
      </c>
      <c r="G3655" s="2" t="str">
        <f>"9780820354606"</f>
        <v>9780820354606</v>
      </c>
      <c r="H3655" s="2" t="s">
        <v>14</v>
      </c>
      <c r="I3655" s="4">
        <v>43620.934027777781</v>
      </c>
      <c r="J3655" s="2" t="s">
        <v>4851</v>
      </c>
    </row>
    <row r="3656" spans="1:10" ht="135" x14ac:dyDescent="0.25">
      <c r="A3656" s="2" t="s">
        <v>29</v>
      </c>
      <c r="B3656" s="2">
        <v>398.20899634</v>
      </c>
      <c r="C3656" s="2" t="s">
        <v>3392</v>
      </c>
      <c r="D3656" s="2" t="s">
        <v>3391</v>
      </c>
      <c r="E3656" s="2" t="s">
        <v>1291</v>
      </c>
      <c r="F3656" s="3">
        <v>42522</v>
      </c>
      <c r="G3656" s="2" t="str">
        <f>"9781624664960"</f>
        <v>9781624664960</v>
      </c>
      <c r="H3656" s="2" t="s">
        <v>14</v>
      </c>
      <c r="I3656" s="4">
        <v>43785.677777777775</v>
      </c>
      <c r="J3656" s="2" t="s">
        <v>3393</v>
      </c>
    </row>
    <row r="3657" spans="1:10" ht="135" x14ac:dyDescent="0.25">
      <c r="A3657" s="2" t="s">
        <v>29</v>
      </c>
      <c r="B3657" s="2">
        <v>306</v>
      </c>
      <c r="C3657" s="2" t="s">
        <v>4749</v>
      </c>
      <c r="D3657" s="2" t="s">
        <v>4748</v>
      </c>
      <c r="E3657" s="2" t="s">
        <v>54</v>
      </c>
      <c r="F3657" s="3">
        <v>43221</v>
      </c>
      <c r="G3657" s="2" t="str">
        <f>"9781503605565"</f>
        <v>9781503605565</v>
      </c>
      <c r="H3657" s="2" t="s">
        <v>14</v>
      </c>
      <c r="I3657" s="4">
        <v>43632.377083333333</v>
      </c>
      <c r="J3657" s="2" t="s">
        <v>4750</v>
      </c>
    </row>
    <row r="3658" spans="1:10" ht="135" x14ac:dyDescent="0.25">
      <c r="A3658" s="2" t="s">
        <v>29</v>
      </c>
      <c r="B3658" s="2">
        <v>398.2089924</v>
      </c>
      <c r="C3658" s="2" t="s">
        <v>5319</v>
      </c>
      <c r="D3658" s="2" t="s">
        <v>5318</v>
      </c>
      <c r="E3658" s="2" t="s">
        <v>23</v>
      </c>
      <c r="F3658" s="3">
        <v>43052</v>
      </c>
      <c r="G3658" s="2" t="str">
        <f>"9780814342725"</f>
        <v>9780814342725</v>
      </c>
      <c r="H3658" s="2" t="s">
        <v>14</v>
      </c>
      <c r="I3658" s="4">
        <v>43605.578472222223</v>
      </c>
      <c r="J3658" s="2" t="s">
        <v>5320</v>
      </c>
    </row>
    <row r="3659" spans="1:10" ht="135" x14ac:dyDescent="0.25">
      <c r="A3659" s="2" t="s">
        <v>29</v>
      </c>
      <c r="C3659" s="2" t="s">
        <v>2521</v>
      </c>
      <c r="D3659" s="2" t="s">
        <v>2520</v>
      </c>
      <c r="E3659" s="2" t="s">
        <v>627</v>
      </c>
      <c r="F3659" s="3">
        <v>41640</v>
      </c>
      <c r="G3659" s="2" t="str">
        <f>"9786155225949"</f>
        <v>9786155225949</v>
      </c>
      <c r="H3659" s="2" t="s">
        <v>14</v>
      </c>
      <c r="I3659" s="4">
        <v>43879.907638888886</v>
      </c>
      <c r="J3659" s="2" t="s">
        <v>2522</v>
      </c>
    </row>
    <row r="3660" spans="1:10" ht="135" x14ac:dyDescent="0.25">
      <c r="A3660" s="2" t="s">
        <v>29</v>
      </c>
      <c r="B3660" s="2">
        <v>306.740973</v>
      </c>
      <c r="C3660" s="2" t="s">
        <v>1222</v>
      </c>
      <c r="D3660" s="2" t="s">
        <v>1221</v>
      </c>
      <c r="E3660" s="2" t="s">
        <v>585</v>
      </c>
      <c r="F3660" s="3">
        <v>39370</v>
      </c>
      <c r="G3660" s="2" t="str">
        <f>"9780226044620"</f>
        <v>9780226044620</v>
      </c>
      <c r="H3660" s="2" t="s">
        <v>14</v>
      </c>
      <c r="I3660" s="4">
        <v>43954.895833333336</v>
      </c>
      <c r="J3660" s="2" t="s">
        <v>1223</v>
      </c>
    </row>
    <row r="3661" spans="1:10" ht="135" x14ac:dyDescent="0.25">
      <c r="A3661" s="2" t="s">
        <v>29</v>
      </c>
      <c r="B3661" s="2">
        <v>301</v>
      </c>
      <c r="C3661" s="2" t="s">
        <v>6794</v>
      </c>
      <c r="D3661" s="2" t="s">
        <v>6793</v>
      </c>
      <c r="E3661" s="2" t="s">
        <v>260</v>
      </c>
      <c r="F3661" s="3">
        <v>42020</v>
      </c>
      <c r="G3661" s="2" t="str">
        <f>"9781592138395"</f>
        <v>9781592138395</v>
      </c>
      <c r="H3661" s="2" t="s">
        <v>14</v>
      </c>
      <c r="I3661" s="4">
        <v>43485.939583333333</v>
      </c>
      <c r="J3661" s="2" t="s">
        <v>6795</v>
      </c>
    </row>
    <row r="3662" spans="1:10" ht="135" x14ac:dyDescent="0.25">
      <c r="A3662" s="2" t="s">
        <v>29</v>
      </c>
      <c r="B3662" s="2">
        <v>362.88</v>
      </c>
      <c r="C3662" s="2" t="s">
        <v>6595</v>
      </c>
      <c r="D3662" s="2" t="s">
        <v>6594</v>
      </c>
      <c r="E3662" s="2" t="s">
        <v>235</v>
      </c>
      <c r="F3662" s="3">
        <v>43435</v>
      </c>
      <c r="G3662" s="2" t="str">
        <f>"9781440867507"</f>
        <v>9781440867507</v>
      </c>
      <c r="H3662" s="2" t="s">
        <v>14</v>
      </c>
      <c r="I3662" s="4">
        <v>43505.511805555558</v>
      </c>
      <c r="J3662" s="2" t="s">
        <v>6596</v>
      </c>
    </row>
    <row r="3663" spans="1:10" ht="135" x14ac:dyDescent="0.25">
      <c r="A3663" s="2" t="s">
        <v>29</v>
      </c>
      <c r="B3663" s="2">
        <v>300</v>
      </c>
      <c r="C3663" s="2" t="s">
        <v>153</v>
      </c>
      <c r="D3663" s="2" t="s">
        <v>1200</v>
      </c>
      <c r="E3663" s="2" t="s">
        <v>1201</v>
      </c>
      <c r="F3663" s="3">
        <v>40690</v>
      </c>
      <c r="G3663" s="2" t="str">
        <f>"9781441982100"</f>
        <v>9781441982100</v>
      </c>
      <c r="H3663" s="2" t="s">
        <v>14</v>
      </c>
      <c r="I3663" s="4">
        <v>43956.569444444445</v>
      </c>
      <c r="J3663" s="2" t="s">
        <v>1202</v>
      </c>
    </row>
    <row r="3664" spans="1:10" ht="135" x14ac:dyDescent="0.25">
      <c r="A3664" s="2" t="s">
        <v>29</v>
      </c>
      <c r="B3664" s="2" t="s">
        <v>726</v>
      </c>
      <c r="C3664" s="2" t="s">
        <v>727</v>
      </c>
      <c r="D3664" s="2" t="s">
        <v>725</v>
      </c>
      <c r="E3664" s="2" t="s">
        <v>73</v>
      </c>
      <c r="F3664" s="3">
        <v>43487</v>
      </c>
      <c r="G3664" s="2" t="str">
        <f>"9781452958644"</f>
        <v>9781452958644</v>
      </c>
      <c r="H3664" s="2" t="s">
        <v>14</v>
      </c>
      <c r="I3664" s="4">
        <v>43995.424305555556</v>
      </c>
      <c r="J3664" s="2" t="s">
        <v>728</v>
      </c>
    </row>
    <row r="3665" spans="1:10" ht="135" x14ac:dyDescent="0.25">
      <c r="A3665" s="2" t="s">
        <v>29</v>
      </c>
      <c r="B3665" s="2" t="s">
        <v>10831</v>
      </c>
      <c r="C3665" s="2" t="s">
        <v>10832</v>
      </c>
      <c r="D3665" s="2" t="s">
        <v>10830</v>
      </c>
      <c r="E3665" s="2" t="s">
        <v>310</v>
      </c>
      <c r="F3665" s="3">
        <v>41822</v>
      </c>
      <c r="G3665" s="2" t="str">
        <f>"9780815652762"</f>
        <v>9780815652762</v>
      </c>
      <c r="H3665" s="2" t="s">
        <v>14</v>
      </c>
      <c r="I3665" s="4">
        <v>43032.902083333334</v>
      </c>
      <c r="J3665" s="2" t="s">
        <v>10833</v>
      </c>
    </row>
    <row r="3666" spans="1:10" ht="135" x14ac:dyDescent="0.25">
      <c r="A3666" s="2" t="s">
        <v>29</v>
      </c>
      <c r="B3666" s="2" t="s">
        <v>9082</v>
      </c>
      <c r="C3666" s="2" t="s">
        <v>9083</v>
      </c>
      <c r="D3666" s="2" t="s">
        <v>9081</v>
      </c>
      <c r="E3666" s="2" t="s">
        <v>69</v>
      </c>
      <c r="F3666" s="3">
        <v>42436</v>
      </c>
      <c r="G3666" s="2" t="str">
        <f>"9780253020734"</f>
        <v>9780253020734</v>
      </c>
      <c r="H3666" s="2" t="s">
        <v>14</v>
      </c>
      <c r="I3666" s="4">
        <v>43219.049305555556</v>
      </c>
      <c r="J3666" s="2" t="s">
        <v>9084</v>
      </c>
    </row>
    <row r="3667" spans="1:10" ht="135" x14ac:dyDescent="0.25">
      <c r="A3667" s="2" t="s">
        <v>29</v>
      </c>
      <c r="B3667" s="2">
        <v>302.23093999999901</v>
      </c>
      <c r="C3667" s="2" t="s">
        <v>7253</v>
      </c>
      <c r="D3667" s="2" t="s">
        <v>7252</v>
      </c>
      <c r="E3667" s="2" t="s">
        <v>221</v>
      </c>
      <c r="F3667" s="3">
        <v>42279</v>
      </c>
      <c r="G3667" s="2" t="str">
        <f>"9789888313617"</f>
        <v>9789888313617</v>
      </c>
      <c r="H3667" s="2" t="s">
        <v>14</v>
      </c>
      <c r="I3667" s="4">
        <v>43431.118055555555</v>
      </c>
      <c r="J3667" s="2" t="s">
        <v>7254</v>
      </c>
    </row>
    <row r="3668" spans="1:10" ht="165" x14ac:dyDescent="0.25">
      <c r="A3668" s="2" t="s">
        <v>29</v>
      </c>
      <c r="B3668" s="2">
        <v>363.45095099999998</v>
      </c>
      <c r="C3668" s="2" t="s">
        <v>12956</v>
      </c>
      <c r="D3668" s="2" t="s">
        <v>12955</v>
      </c>
      <c r="E3668" s="2" t="s">
        <v>180</v>
      </c>
      <c r="F3668" s="3">
        <v>42146</v>
      </c>
      <c r="G3668" s="2" t="str">
        <f>"9781479832514"</f>
        <v>9781479832514</v>
      </c>
      <c r="H3668" s="2" t="s">
        <v>14</v>
      </c>
      <c r="I3668" s="4">
        <v>42754.34652777778</v>
      </c>
      <c r="J3668" s="2" t="s">
        <v>12957</v>
      </c>
    </row>
    <row r="3669" spans="1:10" ht="165" x14ac:dyDescent="0.25">
      <c r="A3669" s="2" t="s">
        <v>29</v>
      </c>
      <c r="B3669" s="2">
        <v>398.20945799999998</v>
      </c>
      <c r="C3669" s="2" t="s">
        <v>3505</v>
      </c>
      <c r="D3669" s="2" t="s">
        <v>3504</v>
      </c>
      <c r="E3669" s="2" t="s">
        <v>1766</v>
      </c>
      <c r="F3669" s="3">
        <v>41944</v>
      </c>
      <c r="G3669" s="2" t="str">
        <f>"9781476617312"</f>
        <v>9781476617312</v>
      </c>
      <c r="H3669" s="2" t="s">
        <v>14</v>
      </c>
      <c r="I3669" s="4">
        <v>43778.708333333336</v>
      </c>
      <c r="J3669" s="2" t="s">
        <v>3506</v>
      </c>
    </row>
    <row r="3670" spans="1:10" ht="180" x14ac:dyDescent="0.25">
      <c r="A3670" s="2" t="s">
        <v>29</v>
      </c>
      <c r="B3670" s="2">
        <v>303.48399999999998</v>
      </c>
      <c r="C3670" s="2" t="s">
        <v>1001</v>
      </c>
      <c r="D3670" s="2" t="s">
        <v>1000</v>
      </c>
      <c r="E3670" s="2" t="s">
        <v>33</v>
      </c>
      <c r="F3670" s="3">
        <v>43672</v>
      </c>
      <c r="G3670" s="2" t="str">
        <f>"9781613766484"</f>
        <v>9781613766484</v>
      </c>
      <c r="H3670" s="2" t="s">
        <v>14</v>
      </c>
      <c r="I3670" s="4">
        <v>43969.99722222222</v>
      </c>
      <c r="J3670" s="2" t="s">
        <v>1002</v>
      </c>
    </row>
    <row r="3671" spans="1:10" ht="135" x14ac:dyDescent="0.25">
      <c r="A3671" s="2" t="s">
        <v>29</v>
      </c>
      <c r="B3671" s="2">
        <v>305.3109510905</v>
      </c>
      <c r="D3671" s="2" t="s">
        <v>6467</v>
      </c>
      <c r="E3671" s="2" t="s">
        <v>221</v>
      </c>
      <c r="F3671" s="3">
        <v>43440</v>
      </c>
      <c r="G3671" s="2" t="str">
        <f>"9789888455478"</f>
        <v>9789888455478</v>
      </c>
      <c r="H3671" s="2" t="s">
        <v>14</v>
      </c>
      <c r="I3671" s="4">
        <v>43515.579861111109</v>
      </c>
      <c r="J3671" s="2" t="s">
        <v>6468</v>
      </c>
    </row>
    <row r="3672" spans="1:10" ht="150" x14ac:dyDescent="0.25">
      <c r="A3672" s="2" t="s">
        <v>29</v>
      </c>
      <c r="B3672" s="2">
        <v>303.48329999999999</v>
      </c>
      <c r="C3672" s="2" t="s">
        <v>3092</v>
      </c>
      <c r="D3672" s="2" t="s">
        <v>3091</v>
      </c>
      <c r="E3672" s="2" t="s">
        <v>54</v>
      </c>
      <c r="F3672" s="3">
        <v>43697</v>
      </c>
      <c r="G3672" s="2" t="str">
        <f>"9781503609754"</f>
        <v>9781503609754</v>
      </c>
      <c r="H3672" s="2" t="s">
        <v>14</v>
      </c>
      <c r="I3672" s="4">
        <v>43814.738194444442</v>
      </c>
      <c r="J3672" s="2" t="s">
        <v>3093</v>
      </c>
    </row>
    <row r="3673" spans="1:10" ht="210" x14ac:dyDescent="0.25">
      <c r="A3673" s="2" t="s">
        <v>29</v>
      </c>
      <c r="B3673" s="2">
        <v>364.36089960730698</v>
      </c>
      <c r="C3673" s="2" t="s">
        <v>2625</v>
      </c>
      <c r="D3673" s="2" t="s">
        <v>2624</v>
      </c>
      <c r="E3673" s="2" t="s">
        <v>156</v>
      </c>
      <c r="F3673" s="3">
        <v>43199</v>
      </c>
      <c r="G3673" s="2" t="str">
        <f>"9781469638676"</f>
        <v>9781469638676</v>
      </c>
      <c r="H3673" s="2" t="s">
        <v>14</v>
      </c>
      <c r="I3673" s="4">
        <v>43872.508333333331</v>
      </c>
      <c r="J3673" s="2" t="s">
        <v>2626</v>
      </c>
    </row>
    <row r="3674" spans="1:10" ht="135" x14ac:dyDescent="0.25">
      <c r="A3674" s="2" t="s">
        <v>29</v>
      </c>
      <c r="B3674" s="2">
        <v>364.66095100000001</v>
      </c>
      <c r="C3674" s="2" t="s">
        <v>9610</v>
      </c>
      <c r="D3674" s="2" t="s">
        <v>9609</v>
      </c>
      <c r="E3674" s="2" t="s">
        <v>97</v>
      </c>
      <c r="F3674" s="3">
        <v>42339</v>
      </c>
      <c r="G3674" s="2" t="str">
        <f>"9780231540810"</f>
        <v>9780231540810</v>
      </c>
      <c r="H3674" s="2" t="s">
        <v>14</v>
      </c>
      <c r="I3674" s="4">
        <v>43146.439583333333</v>
      </c>
      <c r="J3674" s="2" t="s">
        <v>9611</v>
      </c>
    </row>
    <row r="3675" spans="1:10" ht="135" x14ac:dyDescent="0.25">
      <c r="A3675" s="2" t="s">
        <v>29</v>
      </c>
      <c r="B3675" s="2" t="s">
        <v>1284</v>
      </c>
      <c r="C3675" s="2" t="s">
        <v>1285</v>
      </c>
      <c r="D3675" s="2" t="s">
        <v>1283</v>
      </c>
      <c r="E3675" s="2" t="s">
        <v>216</v>
      </c>
      <c r="F3675" s="3">
        <v>42580</v>
      </c>
      <c r="G3675" s="2" t="str">
        <f>"9781438461786"</f>
        <v>9781438461786</v>
      </c>
      <c r="H3675" s="2" t="s">
        <v>14</v>
      </c>
      <c r="I3675" s="4">
        <v>43951.563194444447</v>
      </c>
      <c r="J3675" s="2" t="s">
        <v>1286</v>
      </c>
    </row>
    <row r="3676" spans="1:10" ht="135" x14ac:dyDescent="0.25">
      <c r="A3676" s="2" t="s">
        <v>29</v>
      </c>
      <c r="B3676" s="2">
        <v>307.01</v>
      </c>
      <c r="C3676" s="2" t="s">
        <v>12229</v>
      </c>
      <c r="D3676" s="2" t="s">
        <v>12228</v>
      </c>
      <c r="E3676" s="2" t="s">
        <v>674</v>
      </c>
      <c r="F3676" s="3">
        <v>42614</v>
      </c>
      <c r="G3676" s="2" t="str">
        <f>"9780823273881"</f>
        <v>9780823273881</v>
      </c>
      <c r="H3676" s="2" t="s">
        <v>14</v>
      </c>
      <c r="I3676" s="4">
        <v>42828.61041666667</v>
      </c>
      <c r="J3676" s="2" t="s">
        <v>12230</v>
      </c>
    </row>
    <row r="3677" spans="1:10" ht="135" x14ac:dyDescent="0.25">
      <c r="A3677" s="2" t="s">
        <v>29</v>
      </c>
      <c r="B3677" s="2">
        <v>306.858</v>
      </c>
      <c r="C3677" s="2" t="s">
        <v>2551</v>
      </c>
      <c r="D3677" s="2" t="s">
        <v>2549</v>
      </c>
      <c r="E3677" s="2" t="s">
        <v>2550</v>
      </c>
      <c r="F3677" s="3">
        <v>42675</v>
      </c>
      <c r="G3677" s="2" t="str">
        <f>"9781742199870"</f>
        <v>9781742199870</v>
      </c>
      <c r="H3677" s="2" t="s">
        <v>14</v>
      </c>
      <c r="I3677" s="4">
        <v>43877.025000000001</v>
      </c>
      <c r="J3677" s="2" t="s">
        <v>2552</v>
      </c>
    </row>
    <row r="3678" spans="1:10" ht="135" x14ac:dyDescent="0.25">
      <c r="A3678" s="2" t="s">
        <v>29</v>
      </c>
      <c r="B3678" s="2">
        <v>305.80096800000001</v>
      </c>
      <c r="C3678" s="2" t="s">
        <v>6100</v>
      </c>
      <c r="D3678" s="2" t="s">
        <v>6099</v>
      </c>
      <c r="E3678" s="2" t="s">
        <v>50</v>
      </c>
      <c r="F3678" s="3">
        <v>43344</v>
      </c>
      <c r="G3678" s="2" t="str">
        <f>"9781496207432"</f>
        <v>9781496207432</v>
      </c>
      <c r="H3678" s="2" t="s">
        <v>14</v>
      </c>
      <c r="I3678" s="4">
        <v>43540.731249999997</v>
      </c>
      <c r="J3678" s="2" t="s">
        <v>6101</v>
      </c>
    </row>
    <row r="3679" spans="1:10" ht="135" x14ac:dyDescent="0.25">
      <c r="A3679" s="2" t="s">
        <v>29</v>
      </c>
      <c r="B3679" s="2">
        <v>363.32509051</v>
      </c>
      <c r="C3679" s="2" t="s">
        <v>6720</v>
      </c>
      <c r="D3679" s="2" t="s">
        <v>6719</v>
      </c>
      <c r="E3679" s="2" t="s">
        <v>97</v>
      </c>
      <c r="F3679" s="3">
        <v>41940</v>
      </c>
      <c r="G3679" s="2" t="str">
        <f>"9780231537438"</f>
        <v>9780231537438</v>
      </c>
      <c r="H3679" s="2" t="s">
        <v>14</v>
      </c>
      <c r="I3679" s="4">
        <v>43493.832638888889</v>
      </c>
      <c r="J3679" s="2" t="s">
        <v>6721</v>
      </c>
    </row>
    <row r="3680" spans="1:10" ht="150" x14ac:dyDescent="0.25">
      <c r="A3680" s="2" t="s">
        <v>29</v>
      </c>
      <c r="B3680" s="2">
        <v>364.66091999999998</v>
      </c>
      <c r="C3680" s="2" t="s">
        <v>1064</v>
      </c>
      <c r="D3680" s="2" t="s">
        <v>1063</v>
      </c>
      <c r="E3680" s="2" t="s">
        <v>28</v>
      </c>
      <c r="F3680" s="3">
        <v>42615</v>
      </c>
      <c r="G3680" s="2" t="str">
        <f>"9780813938714"</f>
        <v>9780813938714</v>
      </c>
      <c r="H3680" s="2" t="s">
        <v>14</v>
      </c>
      <c r="I3680" s="4">
        <v>43966.618750000001</v>
      </c>
      <c r="J3680" s="2" t="s">
        <v>1065</v>
      </c>
    </row>
    <row r="3681" spans="1:10" ht="135" x14ac:dyDescent="0.25">
      <c r="A3681" s="2" t="s">
        <v>29</v>
      </c>
      <c r="B3681" s="2">
        <v>305.42094100000003</v>
      </c>
      <c r="C3681" s="2" t="s">
        <v>153</v>
      </c>
      <c r="D3681" s="2" t="s">
        <v>5824</v>
      </c>
      <c r="E3681" s="2" t="s">
        <v>37</v>
      </c>
      <c r="F3681" s="3">
        <v>42879</v>
      </c>
      <c r="G3681" s="2" t="str">
        <f>"9783319536828"</f>
        <v>9783319536828</v>
      </c>
      <c r="H3681" s="2" t="s">
        <v>14</v>
      </c>
      <c r="I3681" s="4">
        <v>43567.431250000001</v>
      </c>
      <c r="J3681" s="2" t="s">
        <v>5825</v>
      </c>
    </row>
    <row r="3682" spans="1:10" ht="135" x14ac:dyDescent="0.25">
      <c r="A3682" s="2" t="s">
        <v>29</v>
      </c>
      <c r="B3682" s="2">
        <v>365.66509730000001</v>
      </c>
      <c r="C3682" s="2" t="s">
        <v>12350</v>
      </c>
      <c r="D3682" s="2" t="s">
        <v>12349</v>
      </c>
      <c r="E3682" s="2" t="s">
        <v>156</v>
      </c>
      <c r="F3682" s="3">
        <v>41974</v>
      </c>
      <c r="G3682" s="2" t="str">
        <f>"9781469603339"</f>
        <v>9781469603339</v>
      </c>
      <c r="H3682" s="2" t="s">
        <v>14</v>
      </c>
      <c r="I3682" s="4">
        <v>42814.663888888892</v>
      </c>
      <c r="J3682" s="2" t="s">
        <v>12351</v>
      </c>
    </row>
    <row r="3683" spans="1:10" ht="135" x14ac:dyDescent="0.25">
      <c r="A3683" s="2" t="s">
        <v>29</v>
      </c>
      <c r="B3683" s="2" t="s">
        <v>4099</v>
      </c>
      <c r="C3683" s="2" t="s">
        <v>4100</v>
      </c>
      <c r="D3683" s="2" t="s">
        <v>4098</v>
      </c>
      <c r="E3683" s="2" t="s">
        <v>216</v>
      </c>
      <c r="F3683" s="3">
        <v>43313</v>
      </c>
      <c r="G3683" s="2" t="str">
        <f>"9781438470627"</f>
        <v>9781438470627</v>
      </c>
      <c r="H3683" s="2" t="s">
        <v>14</v>
      </c>
      <c r="I3683" s="4">
        <v>43713.411805555559</v>
      </c>
      <c r="J3683" s="2" t="s">
        <v>4101</v>
      </c>
    </row>
    <row r="3684" spans="1:10" ht="165" x14ac:dyDescent="0.25">
      <c r="A3684" s="2" t="s">
        <v>29</v>
      </c>
      <c r="B3684" s="2" t="s">
        <v>11202</v>
      </c>
      <c r="C3684" s="2" t="s">
        <v>11203</v>
      </c>
      <c r="D3684" s="2" t="s">
        <v>11201</v>
      </c>
      <c r="E3684" s="2" t="s">
        <v>89</v>
      </c>
      <c r="F3684" s="3">
        <v>42036</v>
      </c>
      <c r="G3684" s="2" t="str">
        <f>"9781782386223"</f>
        <v>9781782386223</v>
      </c>
      <c r="H3684" s="2" t="s">
        <v>14</v>
      </c>
      <c r="I3684" s="4">
        <v>43007.481249999997</v>
      </c>
      <c r="J3684" s="2" t="s">
        <v>11204</v>
      </c>
    </row>
    <row r="3685" spans="1:10" ht="135" x14ac:dyDescent="0.25">
      <c r="A3685" s="2" t="s">
        <v>29</v>
      </c>
      <c r="B3685" s="2">
        <v>398.20951000000002</v>
      </c>
      <c r="C3685" s="2" t="s">
        <v>11206</v>
      </c>
      <c r="D3685" s="2" t="s">
        <v>11205</v>
      </c>
      <c r="E3685" s="2" t="s">
        <v>216</v>
      </c>
      <c r="F3685" s="3">
        <v>42644</v>
      </c>
      <c r="G3685" s="2" t="str">
        <f>"9781438462264"</f>
        <v>9781438462264</v>
      </c>
      <c r="H3685" s="2" t="s">
        <v>14</v>
      </c>
      <c r="I3685" s="4">
        <v>43006.688888888886</v>
      </c>
      <c r="J3685" s="2" t="s">
        <v>11207</v>
      </c>
    </row>
    <row r="3686" spans="1:10" ht="135" x14ac:dyDescent="0.25">
      <c r="A3686" s="2" t="s">
        <v>29</v>
      </c>
      <c r="B3686" s="2">
        <v>303.48409439</v>
      </c>
      <c r="C3686" s="2" t="s">
        <v>11866</v>
      </c>
      <c r="D3686" s="2" t="s">
        <v>11865</v>
      </c>
      <c r="E3686" s="2" t="s">
        <v>627</v>
      </c>
      <c r="F3686" s="3">
        <v>42217</v>
      </c>
      <c r="G3686" s="2" t="str">
        <f>"9786155225550"</f>
        <v>9786155225550</v>
      </c>
      <c r="H3686" s="2" t="s">
        <v>14</v>
      </c>
      <c r="I3686" s="4">
        <v>42878.362500000003</v>
      </c>
      <c r="J3686" s="2" t="s">
        <v>11867</v>
      </c>
    </row>
    <row r="3687" spans="1:10" ht="135" x14ac:dyDescent="0.25">
      <c r="A3687" s="2" t="s">
        <v>29</v>
      </c>
      <c r="B3687" s="2">
        <v>305.56909815300003</v>
      </c>
      <c r="C3687" s="2" t="s">
        <v>4714</v>
      </c>
      <c r="D3687" s="2" t="s">
        <v>4713</v>
      </c>
      <c r="E3687" s="2" t="s">
        <v>156</v>
      </c>
      <c r="F3687" s="3">
        <v>43626</v>
      </c>
      <c r="G3687" s="2" t="str">
        <f>"9781469650005"</f>
        <v>9781469650005</v>
      </c>
      <c r="H3687" s="2" t="s">
        <v>14</v>
      </c>
      <c r="I3687" s="4">
        <v>43634.984027777777</v>
      </c>
      <c r="J3687" s="2" t="s">
        <v>4715</v>
      </c>
    </row>
    <row r="3688" spans="1:10" ht="135" x14ac:dyDescent="0.25">
      <c r="A3688" s="2" t="s">
        <v>29</v>
      </c>
      <c r="B3688" s="2">
        <v>306.70720972999902</v>
      </c>
      <c r="C3688" s="2" t="s">
        <v>7855</v>
      </c>
      <c r="D3688" s="2" t="s">
        <v>7854</v>
      </c>
      <c r="E3688" s="2" t="s">
        <v>69</v>
      </c>
      <c r="F3688" s="3">
        <v>42979</v>
      </c>
      <c r="G3688" s="2" t="str">
        <f>"9780253030238"</f>
        <v>9780253030238</v>
      </c>
      <c r="H3688" s="2" t="s">
        <v>14</v>
      </c>
      <c r="I3688" s="4">
        <v>43383.659722222219</v>
      </c>
      <c r="J3688" s="2" t="s">
        <v>7856</v>
      </c>
    </row>
    <row r="3689" spans="1:10" ht="135" x14ac:dyDescent="0.25">
      <c r="A3689" s="2" t="s">
        <v>29</v>
      </c>
      <c r="B3689" s="2">
        <v>305.80095990000001</v>
      </c>
      <c r="C3689" s="2" t="s">
        <v>7372</v>
      </c>
      <c r="D3689" s="2" t="s">
        <v>7371</v>
      </c>
      <c r="E3689" s="2" t="s">
        <v>578</v>
      </c>
      <c r="F3689" s="3">
        <v>43186</v>
      </c>
      <c r="G3689" s="2" t="str">
        <f>"9780252050398"</f>
        <v>9780252050398</v>
      </c>
      <c r="H3689" s="2" t="s">
        <v>14</v>
      </c>
      <c r="I3689" s="4">
        <v>43421.689583333333</v>
      </c>
      <c r="J3689" s="2" t="s">
        <v>7373</v>
      </c>
    </row>
    <row r="3690" spans="1:10" ht="135" x14ac:dyDescent="0.25">
      <c r="A3690" s="2" t="s">
        <v>29</v>
      </c>
      <c r="B3690" s="2" t="s">
        <v>1595</v>
      </c>
      <c r="C3690" s="2" t="s">
        <v>153</v>
      </c>
      <c r="D3690" s="2" t="s">
        <v>1594</v>
      </c>
      <c r="E3690" s="2" t="s">
        <v>618</v>
      </c>
      <c r="F3690" s="3">
        <v>40554</v>
      </c>
      <c r="G3690" s="2" t="str">
        <f>"9780230117198"</f>
        <v>9780230117198</v>
      </c>
      <c r="H3690" s="2" t="s">
        <v>14</v>
      </c>
      <c r="I3690" s="4">
        <v>43936.388194444444</v>
      </c>
      <c r="J3690" s="2" t="s">
        <v>1596</v>
      </c>
    </row>
    <row r="3691" spans="1:10" ht="135" x14ac:dyDescent="0.25">
      <c r="A3691" s="2" t="s">
        <v>29</v>
      </c>
      <c r="D3691" s="2" t="s">
        <v>62</v>
      </c>
      <c r="E3691" s="2" t="s">
        <v>54</v>
      </c>
      <c r="F3691" s="3">
        <v>44061</v>
      </c>
      <c r="G3691" s="2" t="str">
        <f>"9781503612860"</f>
        <v>9781503612860</v>
      </c>
      <c r="H3691" s="2" t="s">
        <v>14</v>
      </c>
      <c r="I3691" s="4">
        <v>44074.67083333333</v>
      </c>
      <c r="J3691" s="2" t="s">
        <v>63</v>
      </c>
    </row>
    <row r="3692" spans="1:10" ht="135" x14ac:dyDescent="0.25">
      <c r="A3692" s="2" t="s">
        <v>29</v>
      </c>
      <c r="B3692" s="2" t="s">
        <v>5329</v>
      </c>
      <c r="C3692" s="2" t="s">
        <v>5330</v>
      </c>
      <c r="D3692" s="2" t="s">
        <v>5328</v>
      </c>
      <c r="E3692" s="2" t="s">
        <v>235</v>
      </c>
      <c r="F3692" s="3">
        <v>42443</v>
      </c>
      <c r="G3692" s="2" t="str">
        <f>"9781440831614"</f>
        <v>9781440831614</v>
      </c>
      <c r="H3692" s="2" t="s">
        <v>14</v>
      </c>
      <c r="I3692" s="4">
        <v>43605.063194444447</v>
      </c>
      <c r="J3692" s="2" t="s">
        <v>5331</v>
      </c>
    </row>
    <row r="3693" spans="1:10" ht="135" x14ac:dyDescent="0.25">
      <c r="A3693" s="2" t="s">
        <v>29</v>
      </c>
      <c r="B3693" s="2">
        <v>301.01</v>
      </c>
      <c r="C3693" s="2" t="s">
        <v>1353</v>
      </c>
      <c r="D3693" s="2" t="s">
        <v>1352</v>
      </c>
      <c r="E3693" s="2" t="s">
        <v>585</v>
      </c>
      <c r="F3693" s="3">
        <v>43032</v>
      </c>
      <c r="G3693" s="2" t="str">
        <f>"9780226436395"</f>
        <v>9780226436395</v>
      </c>
      <c r="H3693" s="2" t="s">
        <v>14</v>
      </c>
      <c r="I3693" s="4">
        <v>43947.604861111111</v>
      </c>
      <c r="J3693" s="2" t="s">
        <v>1354</v>
      </c>
    </row>
    <row r="3694" spans="1:10" ht="150" x14ac:dyDescent="0.25">
      <c r="A3694" s="2" t="s">
        <v>29</v>
      </c>
      <c r="B3694" s="2">
        <v>363.25097299999999</v>
      </c>
      <c r="C3694" s="2" t="s">
        <v>3029</v>
      </c>
      <c r="D3694" s="2" t="s">
        <v>3028</v>
      </c>
      <c r="E3694" s="2" t="s">
        <v>121</v>
      </c>
      <c r="F3694" s="3">
        <v>43862</v>
      </c>
      <c r="G3694" s="2" t="str">
        <f>"9781609176211"</f>
        <v>9781609176211</v>
      </c>
      <c r="H3694" s="2" t="s">
        <v>14</v>
      </c>
      <c r="I3694" s="4">
        <v>43829.701388888891</v>
      </c>
      <c r="J3694" s="2" t="s">
        <v>3030</v>
      </c>
    </row>
    <row r="3695" spans="1:10" ht="135" x14ac:dyDescent="0.25">
      <c r="A3695" s="2" t="s">
        <v>29</v>
      </c>
      <c r="B3695" s="2">
        <v>363.32499999999999</v>
      </c>
      <c r="C3695" s="2" t="s">
        <v>2862</v>
      </c>
      <c r="D3695" s="2" t="s">
        <v>2861</v>
      </c>
      <c r="E3695" s="2" t="s">
        <v>69</v>
      </c>
      <c r="F3695" s="3">
        <v>43770</v>
      </c>
      <c r="G3695" s="2" t="str">
        <f>"9780253045942"</f>
        <v>9780253045942</v>
      </c>
      <c r="H3695" s="2" t="s">
        <v>14</v>
      </c>
      <c r="I3695" s="4">
        <v>43848.571527777778</v>
      </c>
      <c r="J3695" s="2" t="s">
        <v>2863</v>
      </c>
    </row>
    <row r="3696" spans="1:10" ht="135" x14ac:dyDescent="0.25">
      <c r="A3696" s="2" t="s">
        <v>29</v>
      </c>
      <c r="B3696" s="2" t="s">
        <v>157</v>
      </c>
      <c r="C3696" s="2" t="s">
        <v>158</v>
      </c>
      <c r="D3696" s="2" t="s">
        <v>155</v>
      </c>
      <c r="E3696" s="2" t="s">
        <v>156</v>
      </c>
      <c r="F3696" s="3">
        <v>43199</v>
      </c>
      <c r="G3696" s="2" t="str">
        <f>"9781469636313"</f>
        <v>9781469636313</v>
      </c>
      <c r="H3696" s="2" t="s">
        <v>14</v>
      </c>
      <c r="I3696" s="4">
        <v>44067.632638888892</v>
      </c>
      <c r="J3696" s="2" t="s">
        <v>159</v>
      </c>
    </row>
    <row r="3697" spans="1:10" ht="135" x14ac:dyDescent="0.25">
      <c r="A3697" s="2" t="s">
        <v>29</v>
      </c>
      <c r="B3697" s="2" t="s">
        <v>9631</v>
      </c>
      <c r="C3697" s="2" t="s">
        <v>9632</v>
      </c>
      <c r="D3697" s="2" t="s">
        <v>9630</v>
      </c>
      <c r="E3697" s="2" t="s">
        <v>284</v>
      </c>
      <c r="F3697" s="3">
        <v>38077</v>
      </c>
      <c r="G3697" s="2" t="str">
        <f>"9780824864866"</f>
        <v>9780824864866</v>
      </c>
      <c r="H3697" s="2" t="s">
        <v>14</v>
      </c>
      <c r="I3697" s="4">
        <v>43143.895833333336</v>
      </c>
      <c r="J3697" s="2" t="s">
        <v>9633</v>
      </c>
    </row>
    <row r="3698" spans="1:10" ht="135" x14ac:dyDescent="0.25">
      <c r="A3698" s="2" t="s">
        <v>29</v>
      </c>
      <c r="B3698" s="2">
        <v>306.3620820973</v>
      </c>
      <c r="C3698" s="2" t="s">
        <v>11107</v>
      </c>
      <c r="D3698" s="2" t="s">
        <v>11106</v>
      </c>
      <c r="E3698" s="2" t="s">
        <v>322</v>
      </c>
      <c r="F3698" s="3">
        <v>42307</v>
      </c>
      <c r="G3698" s="2" t="str">
        <f>"9780820348971"</f>
        <v>9780820348971</v>
      </c>
      <c r="H3698" s="2" t="s">
        <v>14</v>
      </c>
      <c r="I3698" s="4">
        <v>43017.602083333331</v>
      </c>
      <c r="J3698" s="2" t="s">
        <v>11108</v>
      </c>
    </row>
    <row r="3699" spans="1:10" ht="150" x14ac:dyDescent="0.25">
      <c r="A3699" s="2" t="s">
        <v>29</v>
      </c>
      <c r="B3699" s="2">
        <v>305.80074421419999</v>
      </c>
      <c r="C3699" s="2" t="s">
        <v>2044</v>
      </c>
      <c r="D3699" s="2" t="s">
        <v>2043</v>
      </c>
      <c r="E3699" s="2" t="s">
        <v>89</v>
      </c>
      <c r="F3699" s="3">
        <v>43693</v>
      </c>
      <c r="G3699" s="2" t="str">
        <f>"9781789203035"</f>
        <v>9781789203035</v>
      </c>
      <c r="H3699" s="2" t="s">
        <v>14</v>
      </c>
      <c r="I3699" s="4">
        <v>43916.54791666667</v>
      </c>
      <c r="J3699" s="2" t="s">
        <v>2045</v>
      </c>
    </row>
    <row r="3700" spans="1:10" ht="180" x14ac:dyDescent="0.25">
      <c r="A3700" s="2" t="s">
        <v>29</v>
      </c>
      <c r="B3700" s="2">
        <v>305.31</v>
      </c>
      <c r="C3700" s="2" t="s">
        <v>8383</v>
      </c>
      <c r="D3700" s="2" t="s">
        <v>8382</v>
      </c>
      <c r="E3700" s="2" t="s">
        <v>3807</v>
      </c>
      <c r="F3700" s="3">
        <v>42675</v>
      </c>
      <c r="G3700" s="2" t="str">
        <f>"9780774833318"</f>
        <v>9780774833318</v>
      </c>
      <c r="H3700" s="2" t="s">
        <v>14</v>
      </c>
      <c r="I3700" s="4">
        <v>43314.38958333333</v>
      </c>
      <c r="J3700" s="2" t="s">
        <v>8384</v>
      </c>
    </row>
    <row r="3701" spans="1:10" ht="165" x14ac:dyDescent="0.25">
      <c r="A3701" s="2" t="s">
        <v>29</v>
      </c>
      <c r="B3701" s="2">
        <v>307.76097299999998</v>
      </c>
      <c r="C3701" s="2" t="s">
        <v>7517</v>
      </c>
      <c r="D3701" s="2" t="s">
        <v>7516</v>
      </c>
      <c r="E3701" s="2" t="s">
        <v>77</v>
      </c>
      <c r="F3701" s="3">
        <v>42978</v>
      </c>
      <c r="G3701" s="2" t="str">
        <f>"9781786072139"</f>
        <v>9781786072139</v>
      </c>
      <c r="H3701" s="2" t="s">
        <v>14</v>
      </c>
      <c r="I3701" s="4">
        <v>43411.540277777778</v>
      </c>
      <c r="J3701" s="2" t="s">
        <v>7518</v>
      </c>
    </row>
    <row r="3702" spans="1:10" ht="135" x14ac:dyDescent="0.25">
      <c r="A3702" s="2" t="s">
        <v>29</v>
      </c>
      <c r="B3702" s="2">
        <v>361.97300000000001</v>
      </c>
      <c r="C3702" s="2" t="s">
        <v>2881</v>
      </c>
      <c r="D3702" s="2" t="s">
        <v>2880</v>
      </c>
      <c r="E3702" s="2" t="s">
        <v>216</v>
      </c>
      <c r="F3702" s="3">
        <v>43313</v>
      </c>
      <c r="G3702" s="2" t="str">
        <f>"9781438470566"</f>
        <v>9781438470566</v>
      </c>
      <c r="H3702" s="2" t="s">
        <v>14</v>
      </c>
      <c r="I3702" s="4">
        <v>43846.663194444445</v>
      </c>
      <c r="J3702" s="2" t="s">
        <v>2882</v>
      </c>
    </row>
    <row r="3703" spans="1:10" ht="135" x14ac:dyDescent="0.25">
      <c r="A3703" s="2" t="s">
        <v>29</v>
      </c>
      <c r="B3703" s="2">
        <v>305.235096</v>
      </c>
      <c r="C3703" s="2" t="s">
        <v>7440</v>
      </c>
      <c r="D3703" s="2" t="s">
        <v>7439</v>
      </c>
      <c r="E3703" s="2" t="s">
        <v>322</v>
      </c>
      <c r="F3703" s="3">
        <v>42368</v>
      </c>
      <c r="G3703" s="2" t="str">
        <f>"9780820348834"</f>
        <v>9780820348834</v>
      </c>
      <c r="H3703" s="2" t="s">
        <v>14</v>
      </c>
      <c r="I3703" s="4">
        <v>43416.390277777777</v>
      </c>
      <c r="J3703" s="2" t="s">
        <v>7441</v>
      </c>
    </row>
    <row r="3704" spans="1:10" ht="135" x14ac:dyDescent="0.25">
      <c r="A3704" s="2" t="s">
        <v>29</v>
      </c>
      <c r="B3704" s="2">
        <v>365</v>
      </c>
      <c r="C3704" s="2" t="s">
        <v>38</v>
      </c>
      <c r="D3704" s="2" t="s">
        <v>1505</v>
      </c>
      <c r="E3704" s="2" t="s">
        <v>17</v>
      </c>
      <c r="F3704" s="3">
        <v>42893</v>
      </c>
      <c r="G3704" s="2" t="str">
        <f>"9781137561350"</f>
        <v>9781137561350</v>
      </c>
      <c r="H3704" s="2" t="s">
        <v>14</v>
      </c>
      <c r="I3704" s="4">
        <v>43941.336805555555</v>
      </c>
      <c r="J3704" s="2" t="s">
        <v>1506</v>
      </c>
    </row>
    <row r="3705" spans="1:10" ht="135" x14ac:dyDescent="0.25">
      <c r="A3705" s="2" t="s">
        <v>29</v>
      </c>
      <c r="B3705" s="2">
        <v>398.20943729999999</v>
      </c>
      <c r="C3705" s="2" t="s">
        <v>7655</v>
      </c>
      <c r="D3705" s="2" t="s">
        <v>7654</v>
      </c>
      <c r="E3705" s="2" t="s">
        <v>58</v>
      </c>
      <c r="F3705" s="3">
        <v>43305</v>
      </c>
      <c r="G3705" s="2" t="str">
        <f>"9780299316631"</f>
        <v>9780299316631</v>
      </c>
      <c r="H3705" s="2" t="s">
        <v>14</v>
      </c>
      <c r="I3705" s="4">
        <v>43401.680555555555</v>
      </c>
      <c r="J3705" s="2" t="s">
        <v>7656</v>
      </c>
    </row>
    <row r="3706" spans="1:10" ht="135" x14ac:dyDescent="0.25">
      <c r="A3706" s="2" t="s">
        <v>29</v>
      </c>
      <c r="B3706" s="2" t="s">
        <v>12902</v>
      </c>
      <c r="C3706" s="2" t="s">
        <v>12903</v>
      </c>
      <c r="D3706" s="2" t="s">
        <v>12901</v>
      </c>
      <c r="E3706" s="2" t="s">
        <v>73</v>
      </c>
      <c r="F3706" s="3">
        <v>42675</v>
      </c>
      <c r="G3706" s="2" t="str">
        <f>"9781452952055"</f>
        <v>9781452952055</v>
      </c>
      <c r="H3706" s="2" t="s">
        <v>14</v>
      </c>
      <c r="I3706" s="4">
        <v>42761.597222222219</v>
      </c>
      <c r="J3706" s="2" t="s">
        <v>12904</v>
      </c>
    </row>
    <row r="3707" spans="1:10" ht="135" x14ac:dyDescent="0.25">
      <c r="A3707" s="2" t="s">
        <v>29</v>
      </c>
      <c r="B3707" s="2">
        <v>305.23500000000001</v>
      </c>
      <c r="C3707" s="2" t="s">
        <v>12610</v>
      </c>
      <c r="D3707" s="2" t="s">
        <v>12609</v>
      </c>
      <c r="E3707" s="2" t="s">
        <v>1719</v>
      </c>
      <c r="F3707" s="3">
        <v>41908</v>
      </c>
      <c r="G3707" s="2" t="str">
        <f>"9780761863908"</f>
        <v>9780761863908</v>
      </c>
      <c r="H3707" s="2" t="s">
        <v>14</v>
      </c>
      <c r="I3707" s="4">
        <v>42789.863888888889</v>
      </c>
      <c r="J3707" s="2" t="s">
        <v>12611</v>
      </c>
    </row>
    <row r="3708" spans="1:10" ht="135" x14ac:dyDescent="0.25">
      <c r="A3708" s="2" t="s">
        <v>29</v>
      </c>
      <c r="B3708" s="2">
        <v>302.23009999999999</v>
      </c>
      <c r="C3708" s="2" t="s">
        <v>1579</v>
      </c>
      <c r="D3708" s="2" t="s">
        <v>1577</v>
      </c>
      <c r="E3708" s="2" t="s">
        <v>1578</v>
      </c>
      <c r="F3708" s="3">
        <v>43479</v>
      </c>
      <c r="G3708" s="2" t="str">
        <f>"9781509532681"</f>
        <v>9781509532681</v>
      </c>
      <c r="H3708" s="2" t="s">
        <v>14</v>
      </c>
      <c r="I3708" s="4">
        <v>43936.808333333334</v>
      </c>
      <c r="J3708" s="2" t="s">
        <v>1580</v>
      </c>
    </row>
    <row r="3709" spans="1:10" ht="135" x14ac:dyDescent="0.25">
      <c r="A3709" s="2" t="s">
        <v>29</v>
      </c>
      <c r="B3709" s="2">
        <v>362.870899274056</v>
      </c>
      <c r="C3709" s="2" t="s">
        <v>9305</v>
      </c>
      <c r="D3709" s="2" t="s">
        <v>9304</v>
      </c>
      <c r="E3709" s="2" t="s">
        <v>69</v>
      </c>
      <c r="F3709" s="3">
        <v>42499</v>
      </c>
      <c r="G3709" s="2" t="str">
        <f>"9780253021526"</f>
        <v>9780253021526</v>
      </c>
      <c r="H3709" s="2" t="s">
        <v>14</v>
      </c>
      <c r="I3709" s="4">
        <v>43187.495833333334</v>
      </c>
      <c r="J3709" s="2" t="s">
        <v>9306</v>
      </c>
    </row>
    <row r="3710" spans="1:10" ht="135" x14ac:dyDescent="0.25">
      <c r="A3710" s="2" t="s">
        <v>29</v>
      </c>
      <c r="B3710" s="2">
        <v>306.36209730000002</v>
      </c>
      <c r="C3710" s="2" t="s">
        <v>7637</v>
      </c>
      <c r="D3710" s="2" t="s">
        <v>7636</v>
      </c>
      <c r="E3710" s="2" t="s">
        <v>216</v>
      </c>
      <c r="F3710" s="3">
        <v>42734</v>
      </c>
      <c r="G3710" s="2" t="str">
        <f>"9781438462387"</f>
        <v>9781438462387</v>
      </c>
      <c r="H3710" s="2" t="s">
        <v>14</v>
      </c>
      <c r="I3710" s="4">
        <v>43403.597916666666</v>
      </c>
      <c r="J3710" s="2" t="s">
        <v>7638</v>
      </c>
    </row>
    <row r="3711" spans="1:10" ht="135" x14ac:dyDescent="0.25">
      <c r="A3711" s="2" t="s">
        <v>29</v>
      </c>
      <c r="B3711" s="2" t="s">
        <v>3238</v>
      </c>
      <c r="C3711" s="2" t="s">
        <v>3239</v>
      </c>
      <c r="D3711" s="2" t="s">
        <v>3237</v>
      </c>
      <c r="E3711" s="2" t="s">
        <v>578</v>
      </c>
      <c r="F3711" s="3">
        <v>42061</v>
      </c>
      <c r="G3711" s="2" t="str">
        <f>"9780252097102"</f>
        <v>9780252097102</v>
      </c>
      <c r="H3711" s="2" t="s">
        <v>14</v>
      </c>
      <c r="I3711" s="4">
        <v>43796.49722222222</v>
      </c>
      <c r="J3711" s="2" t="s">
        <v>3240</v>
      </c>
    </row>
    <row r="3712" spans="1:10" ht="135" x14ac:dyDescent="0.25">
      <c r="A3712" s="2" t="s">
        <v>29</v>
      </c>
      <c r="B3712" s="2">
        <v>394</v>
      </c>
      <c r="C3712" s="2" t="s">
        <v>153</v>
      </c>
      <c r="D3712" s="2" t="s">
        <v>1098</v>
      </c>
      <c r="E3712" s="2" t="s">
        <v>37</v>
      </c>
      <c r="F3712" s="3">
        <v>42941</v>
      </c>
      <c r="G3712" s="2" t="str">
        <f>"9783319542447"</f>
        <v>9783319542447</v>
      </c>
      <c r="H3712" s="2" t="s">
        <v>14</v>
      </c>
      <c r="I3712" s="4">
        <v>43963.586805555555</v>
      </c>
      <c r="J3712" s="2" t="s">
        <v>1099</v>
      </c>
    </row>
    <row r="3713" spans="1:10" ht="135" x14ac:dyDescent="0.25">
      <c r="A3713" s="2" t="s">
        <v>29</v>
      </c>
      <c r="B3713" s="2">
        <v>307.1216</v>
      </c>
      <c r="C3713" s="2" t="s">
        <v>6831</v>
      </c>
      <c r="D3713" s="2" t="s">
        <v>6830</v>
      </c>
      <c r="E3713" s="2" t="s">
        <v>578</v>
      </c>
      <c r="F3713" s="3">
        <v>42264</v>
      </c>
      <c r="G3713" s="2" t="str">
        <f>"9780252098024"</f>
        <v>9780252098024</v>
      </c>
      <c r="H3713" s="2" t="s">
        <v>14</v>
      </c>
      <c r="I3713" s="4">
        <v>43482.648611111108</v>
      </c>
      <c r="J3713" s="2" t="s">
        <v>6832</v>
      </c>
    </row>
    <row r="3714" spans="1:10" ht="135" x14ac:dyDescent="0.25">
      <c r="A3714" s="2" t="s">
        <v>29</v>
      </c>
      <c r="B3714" s="2">
        <v>301</v>
      </c>
      <c r="C3714" s="2" t="s">
        <v>3273</v>
      </c>
      <c r="D3714" s="2" t="s">
        <v>3272</v>
      </c>
      <c r="E3714" s="2" t="s">
        <v>69</v>
      </c>
      <c r="F3714" s="3">
        <v>43720</v>
      </c>
      <c r="G3714" s="2" t="str">
        <f>"9780253043788"</f>
        <v>9780253043788</v>
      </c>
      <c r="H3714" s="2" t="s">
        <v>14</v>
      </c>
      <c r="I3714" s="4">
        <v>43794.421527777777</v>
      </c>
      <c r="J3714" s="2" t="s">
        <v>3274</v>
      </c>
    </row>
    <row r="3715" spans="1:10" ht="150" x14ac:dyDescent="0.25">
      <c r="A3715" s="2" t="s">
        <v>29</v>
      </c>
      <c r="B3715" s="2">
        <v>306.73599999999902</v>
      </c>
      <c r="C3715" s="2" t="s">
        <v>1104</v>
      </c>
      <c r="D3715" s="2" t="s">
        <v>1103</v>
      </c>
      <c r="E3715" s="2" t="s">
        <v>328</v>
      </c>
      <c r="F3715" s="3">
        <v>43032</v>
      </c>
      <c r="G3715" s="2" t="str">
        <f>"9781498544610"</f>
        <v>9781498544610</v>
      </c>
      <c r="H3715" s="2" t="s">
        <v>14</v>
      </c>
      <c r="I3715" s="4">
        <v>43963.388888888891</v>
      </c>
      <c r="J3715" s="2" t="s">
        <v>1105</v>
      </c>
    </row>
    <row r="3716" spans="1:10" ht="180" x14ac:dyDescent="0.25">
      <c r="A3716" s="2" t="s">
        <v>29</v>
      </c>
      <c r="B3716" s="2">
        <v>362.88082000000003</v>
      </c>
      <c r="C3716" s="2" t="s">
        <v>586</v>
      </c>
      <c r="D3716" s="2" t="s">
        <v>584</v>
      </c>
      <c r="E3716" s="2" t="s">
        <v>585</v>
      </c>
      <c r="F3716" s="3">
        <v>42531</v>
      </c>
      <c r="G3716" s="2" t="str">
        <f>"9780226261317"</f>
        <v>9780226261317</v>
      </c>
      <c r="H3716" s="2" t="s">
        <v>14</v>
      </c>
      <c r="I3716" s="4">
        <v>44009.684027777781</v>
      </c>
      <c r="J3716" s="2" t="s">
        <v>587</v>
      </c>
    </row>
    <row r="3717" spans="1:10" ht="135" x14ac:dyDescent="0.25">
      <c r="A3717" s="2" t="s">
        <v>29</v>
      </c>
      <c r="B3717" s="2">
        <v>307.3</v>
      </c>
      <c r="C3717" s="2" t="s">
        <v>8247</v>
      </c>
      <c r="D3717" s="2" t="s">
        <v>8246</v>
      </c>
      <c r="E3717" s="2" t="s">
        <v>73</v>
      </c>
      <c r="F3717" s="3">
        <v>42566</v>
      </c>
      <c r="G3717" s="2" t="str">
        <f>"9781452953366"</f>
        <v>9781452953366</v>
      </c>
      <c r="H3717" s="2" t="s">
        <v>14</v>
      </c>
      <c r="I3717" s="4">
        <v>43331.796527777777</v>
      </c>
      <c r="J3717" s="2" t="s">
        <v>8248</v>
      </c>
    </row>
    <row r="3718" spans="1:10" ht="135" x14ac:dyDescent="0.25">
      <c r="A3718" s="2" t="s">
        <v>29</v>
      </c>
      <c r="B3718" s="2">
        <v>303.40956920000002</v>
      </c>
      <c r="C3718" s="2" t="s">
        <v>10920</v>
      </c>
      <c r="D3718" s="2" t="s">
        <v>10919</v>
      </c>
      <c r="E3718" s="2" t="s">
        <v>310</v>
      </c>
      <c r="F3718" s="3">
        <v>41982</v>
      </c>
      <c r="G3718" s="2" t="str">
        <f>"9780815653011"</f>
        <v>9780815653011</v>
      </c>
      <c r="H3718" s="2" t="s">
        <v>14</v>
      </c>
      <c r="I3718" s="4">
        <v>43028.881249999999</v>
      </c>
      <c r="J3718" s="2" t="s">
        <v>10921</v>
      </c>
    </row>
    <row r="3719" spans="1:10" ht="135" x14ac:dyDescent="0.25">
      <c r="A3719" s="2" t="s">
        <v>29</v>
      </c>
      <c r="B3719" s="2">
        <v>364.10609748000002</v>
      </c>
      <c r="C3719" s="2" t="s">
        <v>11603</v>
      </c>
      <c r="D3719" s="2" t="s">
        <v>11602</v>
      </c>
      <c r="E3719" s="2" t="s">
        <v>674</v>
      </c>
      <c r="F3719" s="3">
        <v>42005</v>
      </c>
      <c r="G3719" s="2" t="str">
        <f>"9780823262267"</f>
        <v>9780823262267</v>
      </c>
      <c r="H3719" s="2" t="s">
        <v>14</v>
      </c>
      <c r="I3719" s="4">
        <v>42921.543749999997</v>
      </c>
      <c r="J3719" s="2" t="s">
        <v>11604</v>
      </c>
    </row>
    <row r="3720" spans="1:10" ht="135" x14ac:dyDescent="0.25">
      <c r="A3720" s="2" t="s">
        <v>29</v>
      </c>
      <c r="B3720" s="2">
        <v>306.74094209999998</v>
      </c>
      <c r="C3720" s="2" t="s">
        <v>10477</v>
      </c>
      <c r="D3720" s="2" t="s">
        <v>10476</v>
      </c>
      <c r="E3720" s="2" t="s">
        <v>69</v>
      </c>
      <c r="F3720" s="3">
        <v>42611</v>
      </c>
      <c r="G3720" s="2" t="str">
        <f>"9780253021472"</f>
        <v>9780253021472</v>
      </c>
      <c r="H3720" s="2" t="s">
        <v>14</v>
      </c>
      <c r="I3720" s="4">
        <v>43054.799305555556</v>
      </c>
      <c r="J3720" s="2" t="s">
        <v>10478</v>
      </c>
    </row>
    <row r="3721" spans="1:10" ht="135" x14ac:dyDescent="0.25">
      <c r="A3721" s="2" t="s">
        <v>29</v>
      </c>
      <c r="B3721" s="2" t="s">
        <v>8115</v>
      </c>
      <c r="C3721" s="2" t="s">
        <v>8116</v>
      </c>
      <c r="D3721" s="2" t="s">
        <v>8114</v>
      </c>
      <c r="E3721" s="2" t="s">
        <v>33</v>
      </c>
      <c r="F3721" s="3">
        <v>42689</v>
      </c>
      <c r="G3721" s="2" t="str">
        <f>"9781613764930"</f>
        <v>9781613764930</v>
      </c>
      <c r="H3721" s="2" t="s">
        <v>14</v>
      </c>
      <c r="I3721" s="4">
        <v>43350.788888888892</v>
      </c>
      <c r="J3721" s="2" t="s">
        <v>8117</v>
      </c>
    </row>
    <row r="3722" spans="1:10" ht="135" x14ac:dyDescent="0.25">
      <c r="A3722" s="2" t="s">
        <v>29</v>
      </c>
      <c r="B3722" s="2">
        <v>306.87430000000001</v>
      </c>
      <c r="C3722" s="2" t="s">
        <v>5429</v>
      </c>
      <c r="D3722" s="2" t="s">
        <v>5428</v>
      </c>
      <c r="E3722" s="2" t="s">
        <v>216</v>
      </c>
      <c r="F3722" s="3">
        <v>43101</v>
      </c>
      <c r="G3722" s="2" t="str">
        <f>"9781438467658"</f>
        <v>9781438467658</v>
      </c>
      <c r="H3722" s="2" t="s">
        <v>14</v>
      </c>
      <c r="I3722" s="4">
        <v>43599.664583333331</v>
      </c>
      <c r="J3722" s="2" t="s">
        <v>5430</v>
      </c>
    </row>
    <row r="3723" spans="1:10" ht="135" x14ac:dyDescent="0.25">
      <c r="A3723" s="2" t="s">
        <v>29</v>
      </c>
      <c r="B3723" s="2">
        <v>361.77</v>
      </c>
      <c r="C3723" s="2" t="s">
        <v>3147</v>
      </c>
      <c r="D3723" s="2" t="s">
        <v>3146</v>
      </c>
      <c r="E3723" s="2" t="s">
        <v>578</v>
      </c>
      <c r="F3723" s="3">
        <v>42660</v>
      </c>
      <c r="G3723" s="2" t="str">
        <f>"9780252098857"</f>
        <v>9780252098857</v>
      </c>
      <c r="H3723" s="2" t="s">
        <v>14</v>
      </c>
      <c r="I3723" s="4">
        <v>43804.577777777777</v>
      </c>
      <c r="J3723" s="2" t="s">
        <v>3148</v>
      </c>
    </row>
    <row r="3724" spans="1:10" ht="165" x14ac:dyDescent="0.25">
      <c r="A3724" s="2" t="s">
        <v>29</v>
      </c>
      <c r="B3724" s="2" t="s">
        <v>5086</v>
      </c>
      <c r="C3724" s="2" t="s">
        <v>5087</v>
      </c>
      <c r="D3724" s="2" t="s">
        <v>5085</v>
      </c>
      <c r="E3724" s="2" t="s">
        <v>216</v>
      </c>
      <c r="F3724" s="3">
        <v>43374</v>
      </c>
      <c r="G3724" s="2" t="str">
        <f>"9781438469317"</f>
        <v>9781438469317</v>
      </c>
      <c r="H3724" s="2" t="s">
        <v>14</v>
      </c>
      <c r="I3724" s="4">
        <v>43611.029166666667</v>
      </c>
      <c r="J3724" s="2" t="s">
        <v>5088</v>
      </c>
    </row>
    <row r="3725" spans="1:10" ht="135" x14ac:dyDescent="0.25">
      <c r="A3725" s="2" t="s">
        <v>29</v>
      </c>
      <c r="B3725" s="2">
        <v>364.01</v>
      </c>
      <c r="C3725" s="2" t="s">
        <v>4579</v>
      </c>
      <c r="D3725" s="2" t="s">
        <v>4578</v>
      </c>
      <c r="E3725" s="2" t="s">
        <v>585</v>
      </c>
      <c r="F3725" s="3">
        <v>42709</v>
      </c>
      <c r="G3725" s="2" t="str">
        <f>"9780226425078"</f>
        <v>9780226425078</v>
      </c>
      <c r="H3725" s="2" t="s">
        <v>14</v>
      </c>
      <c r="I3725" s="4">
        <v>43647.857638888891</v>
      </c>
      <c r="J3725" s="2" t="s">
        <v>4580</v>
      </c>
    </row>
    <row r="3726" spans="1:10" ht="135" x14ac:dyDescent="0.25">
      <c r="A3726" s="2" t="s">
        <v>29</v>
      </c>
      <c r="B3726" s="2">
        <v>307.76095600000002</v>
      </c>
      <c r="C3726" s="2" t="s">
        <v>11927</v>
      </c>
      <c r="D3726" s="2" t="s">
        <v>11926</v>
      </c>
      <c r="E3726" s="2" t="s">
        <v>310</v>
      </c>
      <c r="F3726" s="3">
        <v>40779</v>
      </c>
      <c r="G3726" s="2" t="str">
        <f>"9780815650638"</f>
        <v>9780815650638</v>
      </c>
      <c r="H3726" s="2" t="s">
        <v>14</v>
      </c>
      <c r="I3726" s="4">
        <v>42871.655555555553</v>
      </c>
      <c r="J3726" s="2" t="s">
        <v>11928</v>
      </c>
    </row>
    <row r="3727" spans="1:10" ht="135" x14ac:dyDescent="0.25">
      <c r="A3727" s="2" t="s">
        <v>29</v>
      </c>
      <c r="B3727" s="2">
        <v>394.12</v>
      </c>
      <c r="C3727" s="2" t="s">
        <v>10906</v>
      </c>
      <c r="D3727" s="2" t="s">
        <v>10905</v>
      </c>
      <c r="E3727" s="2" t="s">
        <v>322</v>
      </c>
      <c r="F3727" s="3">
        <v>42185</v>
      </c>
      <c r="G3727" s="2" t="str">
        <f>"9780820348544"</f>
        <v>9780820348544</v>
      </c>
      <c r="H3727" s="2" t="s">
        <v>14</v>
      </c>
      <c r="I3727" s="4">
        <v>43029.852083333331</v>
      </c>
      <c r="J3727" s="2" t="s">
        <v>10907</v>
      </c>
    </row>
    <row r="3728" spans="1:10" ht="135" x14ac:dyDescent="0.25">
      <c r="A3728" s="2" t="s">
        <v>29</v>
      </c>
      <c r="B3728" s="2">
        <v>363.32499999999902</v>
      </c>
      <c r="C3728" s="2" t="s">
        <v>7413</v>
      </c>
      <c r="D3728" s="2" t="s">
        <v>7412</v>
      </c>
      <c r="E3728" s="2" t="s">
        <v>499</v>
      </c>
      <c r="F3728" s="3">
        <v>42858</v>
      </c>
      <c r="G3728" s="2" t="str">
        <f>"9781626164291"</f>
        <v>9781626164291</v>
      </c>
      <c r="H3728" s="2" t="s">
        <v>14</v>
      </c>
      <c r="I3728" s="4">
        <v>43417.57708333333</v>
      </c>
      <c r="J3728" s="2" t="s">
        <v>7414</v>
      </c>
    </row>
    <row r="3729" spans="1:10" ht="135" x14ac:dyDescent="0.25">
      <c r="A3729" s="2" t="s">
        <v>29</v>
      </c>
      <c r="B3729" s="2">
        <v>363.32503000000003</v>
      </c>
      <c r="C3729" s="2" t="s">
        <v>8087</v>
      </c>
      <c r="D3729" s="2" t="s">
        <v>8086</v>
      </c>
      <c r="E3729" s="2" t="s">
        <v>235</v>
      </c>
      <c r="F3729" s="3">
        <v>41919</v>
      </c>
      <c r="G3729" s="2" t="str">
        <f>"9781610695114"</f>
        <v>9781610695114</v>
      </c>
      <c r="H3729" s="2" t="s">
        <v>14</v>
      </c>
      <c r="I3729" s="4">
        <v>43354.659722222219</v>
      </c>
      <c r="J3729" s="2" t="s">
        <v>8088</v>
      </c>
    </row>
    <row r="3730" spans="1:10" ht="135" x14ac:dyDescent="0.25">
      <c r="A3730" s="2" t="s">
        <v>29</v>
      </c>
      <c r="B3730" s="2">
        <v>362.87089756</v>
      </c>
      <c r="C3730" s="2" t="s">
        <v>12424</v>
      </c>
      <c r="D3730" s="2" t="s">
        <v>12423</v>
      </c>
      <c r="E3730" s="2" t="s">
        <v>755</v>
      </c>
      <c r="F3730" s="3">
        <v>42360</v>
      </c>
      <c r="G3730" s="2" t="str">
        <f>"9781464807732"</f>
        <v>9781464807732</v>
      </c>
      <c r="H3730" s="2" t="s">
        <v>14</v>
      </c>
      <c r="I3730" s="4">
        <v>42807.579861111109</v>
      </c>
      <c r="J3730" s="2" t="s">
        <v>12425</v>
      </c>
    </row>
    <row r="3731" spans="1:10" ht="135" x14ac:dyDescent="0.25">
      <c r="A3731" s="2" t="s">
        <v>29</v>
      </c>
      <c r="B3731" s="2">
        <v>301.01</v>
      </c>
      <c r="C3731" s="2" t="s">
        <v>12232</v>
      </c>
      <c r="D3731" s="2" t="s">
        <v>12231</v>
      </c>
      <c r="E3731" s="2" t="s">
        <v>10532</v>
      </c>
      <c r="F3731" s="3">
        <v>41496</v>
      </c>
      <c r="G3731" s="2" t="str">
        <f>"9780520956810"</f>
        <v>9780520956810</v>
      </c>
      <c r="H3731" s="2" t="s">
        <v>14</v>
      </c>
      <c r="I3731" s="4">
        <v>42828.445833333331</v>
      </c>
      <c r="J3731" s="2" t="s">
        <v>12233</v>
      </c>
    </row>
    <row r="3732" spans="1:10" ht="135" x14ac:dyDescent="0.25">
      <c r="A3732" s="2" t="s">
        <v>29</v>
      </c>
      <c r="B3732" s="2">
        <v>300.10000000000002</v>
      </c>
      <c r="C3732" s="2" t="s">
        <v>1027</v>
      </c>
      <c r="D3732" s="2" t="s">
        <v>11517</v>
      </c>
      <c r="E3732" s="2" t="s">
        <v>54</v>
      </c>
      <c r="F3732" s="3">
        <v>41731</v>
      </c>
      <c r="G3732" s="2" t="str">
        <f>"9780804791199"</f>
        <v>9780804791199</v>
      </c>
      <c r="H3732" s="2" t="s">
        <v>14</v>
      </c>
      <c r="I3732" s="4">
        <v>42943.740972222222</v>
      </c>
      <c r="J3732" s="2" t="s">
        <v>11518</v>
      </c>
    </row>
    <row r="3733" spans="1:10" ht="135" x14ac:dyDescent="0.25">
      <c r="A3733" s="2" t="s">
        <v>29</v>
      </c>
      <c r="B3733" s="2">
        <v>301.072</v>
      </c>
      <c r="C3733" s="2" t="s">
        <v>7631</v>
      </c>
      <c r="D3733" s="2" t="s">
        <v>7630</v>
      </c>
      <c r="E3733" s="2" t="s">
        <v>97</v>
      </c>
      <c r="F3733" s="3">
        <v>42829</v>
      </c>
      <c r="G3733" s="2" t="str">
        <f>"9780231543699"</f>
        <v>9780231543699</v>
      </c>
      <c r="H3733" s="2" t="s">
        <v>14</v>
      </c>
      <c r="I3733" s="4">
        <v>43403.751388888886</v>
      </c>
      <c r="J3733" s="2" t="s">
        <v>7632</v>
      </c>
    </row>
    <row r="3734" spans="1:10" ht="135" x14ac:dyDescent="0.25">
      <c r="A3734" s="2" t="s">
        <v>29</v>
      </c>
      <c r="B3734" s="2" t="s">
        <v>3364</v>
      </c>
      <c r="C3734" s="2" t="s">
        <v>3365</v>
      </c>
      <c r="D3734" s="2" t="s">
        <v>3363</v>
      </c>
      <c r="E3734" s="2" t="s">
        <v>105</v>
      </c>
      <c r="F3734" s="3">
        <v>43507</v>
      </c>
      <c r="G3734" s="2" t="str">
        <f>"9781610756563"</f>
        <v>9781610756563</v>
      </c>
      <c r="H3734" s="2" t="s">
        <v>14</v>
      </c>
      <c r="I3734" s="4">
        <v>43787.645138888889</v>
      </c>
      <c r="J3734" s="2" t="s">
        <v>3366</v>
      </c>
    </row>
    <row r="3735" spans="1:10" ht="135" x14ac:dyDescent="0.25">
      <c r="A3735" s="2" t="s">
        <v>29</v>
      </c>
      <c r="B3735" s="2">
        <v>362.73409519500001</v>
      </c>
      <c r="C3735" s="2" t="s">
        <v>4199</v>
      </c>
      <c r="D3735" s="2" t="s">
        <v>10101</v>
      </c>
      <c r="E3735" s="2" t="s">
        <v>54</v>
      </c>
      <c r="F3735" s="3">
        <v>42172</v>
      </c>
      <c r="G3735" s="2" t="str">
        <f>"9780804795333"</f>
        <v>9780804795333</v>
      </c>
      <c r="H3735" s="2" t="s">
        <v>14</v>
      </c>
      <c r="I3735" s="4">
        <v>43102.972222222219</v>
      </c>
      <c r="J3735" s="2" t="s">
        <v>10102</v>
      </c>
    </row>
    <row r="3736" spans="1:10" ht="135" x14ac:dyDescent="0.25">
      <c r="A3736" s="2" t="s">
        <v>29</v>
      </c>
      <c r="B3736" s="2">
        <v>300.10000000000002</v>
      </c>
      <c r="C3736" s="2" t="s">
        <v>9076</v>
      </c>
      <c r="D3736" s="2" t="s">
        <v>9075</v>
      </c>
      <c r="E3736" s="2" t="s">
        <v>80</v>
      </c>
      <c r="F3736" s="3">
        <v>42155</v>
      </c>
      <c r="G3736" s="2" t="str">
        <f>"9783653052497"</f>
        <v>9783653052497</v>
      </c>
      <c r="H3736" s="2" t="s">
        <v>14</v>
      </c>
      <c r="I3736" s="4">
        <v>43219.053472222222</v>
      </c>
      <c r="J3736" s="2" t="s">
        <v>9077</v>
      </c>
    </row>
    <row r="3737" spans="1:10" ht="135" x14ac:dyDescent="0.25">
      <c r="A3737" s="2" t="s">
        <v>29</v>
      </c>
      <c r="B3737" s="2">
        <v>305.23099999999999</v>
      </c>
      <c r="C3737" s="2" t="s">
        <v>444</v>
      </c>
      <c r="D3737" s="2" t="s">
        <v>443</v>
      </c>
      <c r="E3737" s="2" t="s">
        <v>130</v>
      </c>
      <c r="F3737" s="3">
        <v>41779</v>
      </c>
      <c r="G3737" s="2" t="str">
        <f>"9780813048864"</f>
        <v>9780813048864</v>
      </c>
      <c r="H3737" s="2" t="s">
        <v>14</v>
      </c>
      <c r="I3737" s="4">
        <v>44022.876388888886</v>
      </c>
      <c r="J3737" s="2" t="s">
        <v>445</v>
      </c>
    </row>
    <row r="3738" spans="1:10" ht="135" x14ac:dyDescent="0.25">
      <c r="A3738" s="2" t="s">
        <v>29</v>
      </c>
      <c r="B3738" s="2">
        <v>364.15</v>
      </c>
      <c r="D3738" s="2" t="s">
        <v>199</v>
      </c>
      <c r="E3738" s="2" t="s">
        <v>54</v>
      </c>
      <c r="F3738" s="3">
        <v>44033</v>
      </c>
      <c r="G3738" s="2" t="str">
        <f>"9781503612563"</f>
        <v>9781503612563</v>
      </c>
      <c r="H3738" s="2" t="s">
        <v>14</v>
      </c>
      <c r="I3738" s="4">
        <v>44061.492361111108</v>
      </c>
      <c r="J3738" s="2" t="s">
        <v>200</v>
      </c>
    </row>
    <row r="3739" spans="1:10" ht="135" x14ac:dyDescent="0.25">
      <c r="A3739" s="2" t="s">
        <v>29</v>
      </c>
      <c r="B3739" s="2">
        <v>306.76799999999997</v>
      </c>
      <c r="C3739" s="2" t="s">
        <v>236</v>
      </c>
      <c r="D3739" s="2" t="s">
        <v>234</v>
      </c>
      <c r="E3739" s="2" t="s">
        <v>235</v>
      </c>
      <c r="F3739" s="3">
        <v>43511</v>
      </c>
      <c r="G3739" s="2" t="str">
        <f>"9781440856914"</f>
        <v>9781440856914</v>
      </c>
      <c r="H3739" s="2" t="s">
        <v>14</v>
      </c>
      <c r="I3739" s="4">
        <v>44052.64166666667</v>
      </c>
      <c r="J3739" s="2" t="s">
        <v>237</v>
      </c>
    </row>
    <row r="3740" spans="1:10" ht="135" x14ac:dyDescent="0.25">
      <c r="A3740" s="2" t="s">
        <v>29</v>
      </c>
      <c r="B3740" s="2">
        <v>302.34096751120001</v>
      </c>
      <c r="C3740" s="2" t="s">
        <v>8207</v>
      </c>
      <c r="D3740" s="2" t="s">
        <v>8206</v>
      </c>
      <c r="E3740" s="2" t="s">
        <v>69</v>
      </c>
      <c r="F3740" s="3">
        <v>42470</v>
      </c>
      <c r="G3740" s="2" t="str">
        <f>"9780253020802"</f>
        <v>9780253020802</v>
      </c>
      <c r="H3740" s="2" t="s">
        <v>14</v>
      </c>
      <c r="I3740" s="4">
        <v>43340.894444444442</v>
      </c>
      <c r="J3740" s="2" t="s">
        <v>8208</v>
      </c>
    </row>
    <row r="3741" spans="1:10" ht="135" x14ac:dyDescent="0.25">
      <c r="A3741" s="2" t="s">
        <v>29</v>
      </c>
      <c r="B3741" s="2">
        <v>302.23450830000002</v>
      </c>
      <c r="C3741" s="2" t="s">
        <v>10835</v>
      </c>
      <c r="D3741" s="2" t="s">
        <v>10834</v>
      </c>
      <c r="E3741" s="2" t="s">
        <v>80</v>
      </c>
      <c r="F3741" s="3">
        <v>41758</v>
      </c>
      <c r="G3741" s="2" t="str">
        <f>"9783653043044"</f>
        <v>9783653043044</v>
      </c>
      <c r="H3741" s="2" t="s">
        <v>14</v>
      </c>
      <c r="I3741" s="4">
        <v>43032.713888888888</v>
      </c>
      <c r="J3741" s="2" t="s">
        <v>10836</v>
      </c>
    </row>
    <row r="3742" spans="1:10" ht="135" x14ac:dyDescent="0.25">
      <c r="A3742" s="2" t="s">
        <v>29</v>
      </c>
      <c r="B3742" s="2">
        <v>306.76010000000002</v>
      </c>
      <c r="C3742" s="2" t="s">
        <v>3843</v>
      </c>
      <c r="D3742" s="2" t="s">
        <v>3842</v>
      </c>
      <c r="E3742" s="2" t="s">
        <v>578</v>
      </c>
      <c r="F3742" s="3">
        <v>43283</v>
      </c>
      <c r="G3742" s="2" t="str">
        <f>"9780252050572"</f>
        <v>9780252050572</v>
      </c>
      <c r="H3742" s="2" t="s">
        <v>14</v>
      </c>
      <c r="I3742" s="4">
        <v>43750.425000000003</v>
      </c>
      <c r="J3742" s="2" t="s">
        <v>3844</v>
      </c>
    </row>
    <row r="3743" spans="1:10" ht="135" x14ac:dyDescent="0.25">
      <c r="A3743" s="2" t="s">
        <v>29</v>
      </c>
      <c r="B3743" s="2">
        <v>305.40899999999999</v>
      </c>
      <c r="D3743" s="2" t="s">
        <v>12914</v>
      </c>
      <c r="E3743" s="2" t="s">
        <v>846</v>
      </c>
      <c r="F3743" s="3">
        <v>41975</v>
      </c>
      <c r="G3743" s="2" t="str">
        <f>"9781442617735"</f>
        <v>9781442617735</v>
      </c>
      <c r="H3743" s="2" t="s">
        <v>14</v>
      </c>
      <c r="I3743" s="4">
        <v>42759.015277777777</v>
      </c>
      <c r="J3743" s="2" t="s">
        <v>12915</v>
      </c>
    </row>
    <row r="3744" spans="1:10" ht="135" x14ac:dyDescent="0.25">
      <c r="A3744" s="2" t="s">
        <v>29</v>
      </c>
      <c r="B3744" s="2">
        <v>305.42090000000002</v>
      </c>
      <c r="C3744" s="2" t="s">
        <v>5980</v>
      </c>
      <c r="D3744" s="2" t="s">
        <v>5979</v>
      </c>
      <c r="E3744" s="2" t="s">
        <v>260</v>
      </c>
      <c r="F3744" s="3">
        <v>43406</v>
      </c>
      <c r="G3744" s="2" t="str">
        <f>"9781439916520"</f>
        <v>9781439916520</v>
      </c>
      <c r="H3744" s="2" t="s">
        <v>14</v>
      </c>
      <c r="I3744" s="4">
        <v>43552.052777777775</v>
      </c>
      <c r="J3744" s="2" t="s">
        <v>5981</v>
      </c>
    </row>
    <row r="3745" spans="1:10" ht="135" x14ac:dyDescent="0.25">
      <c r="A3745" s="2" t="s">
        <v>29</v>
      </c>
      <c r="B3745" s="2">
        <v>364.360973</v>
      </c>
      <c r="C3745" s="2" t="s">
        <v>11163</v>
      </c>
      <c r="D3745" s="2" t="s">
        <v>11162</v>
      </c>
      <c r="E3745" s="2" t="s">
        <v>235</v>
      </c>
      <c r="F3745" s="3">
        <v>42318</v>
      </c>
      <c r="G3745" s="2" t="str">
        <f>"9781440839634"</f>
        <v>9781440839634</v>
      </c>
      <c r="H3745" s="2" t="s">
        <v>14</v>
      </c>
      <c r="I3745" s="4">
        <v>43011.620138888888</v>
      </c>
      <c r="J3745" s="2" t="s">
        <v>11164</v>
      </c>
    </row>
    <row r="3746" spans="1:10" ht="135" x14ac:dyDescent="0.25">
      <c r="A3746" s="2" t="s">
        <v>29</v>
      </c>
      <c r="B3746" s="2">
        <v>305.89140512500001</v>
      </c>
      <c r="C3746" s="2" t="s">
        <v>6559</v>
      </c>
      <c r="D3746" s="2" t="s">
        <v>6558</v>
      </c>
      <c r="E3746" s="2" t="s">
        <v>221</v>
      </c>
      <c r="F3746" s="3">
        <v>41779</v>
      </c>
      <c r="G3746" s="2" t="str">
        <f>"9789888268382"</f>
        <v>9789888268382</v>
      </c>
      <c r="H3746" s="2" t="s">
        <v>14</v>
      </c>
      <c r="I3746" s="4">
        <v>43507.732638888891</v>
      </c>
      <c r="J3746" s="2" t="s">
        <v>6560</v>
      </c>
    </row>
    <row r="3747" spans="1:10" ht="135" x14ac:dyDescent="0.25">
      <c r="A3747" s="2" t="s">
        <v>29</v>
      </c>
      <c r="B3747" s="2" t="s">
        <v>4625</v>
      </c>
      <c r="C3747" s="2" t="s">
        <v>4626</v>
      </c>
      <c r="D3747" s="2" t="s">
        <v>4624</v>
      </c>
      <c r="E3747" s="2" t="s">
        <v>58</v>
      </c>
      <c r="F3747" s="3">
        <v>43424</v>
      </c>
      <c r="G3747" s="2" t="str">
        <f>"9780299319236"</f>
        <v>9780299319236</v>
      </c>
      <c r="H3747" s="2" t="s">
        <v>14</v>
      </c>
      <c r="I3747" s="4">
        <v>43644.463194444441</v>
      </c>
      <c r="J3747" s="2" t="s">
        <v>4627</v>
      </c>
    </row>
    <row r="3748" spans="1:10" ht="135" x14ac:dyDescent="0.25">
      <c r="A3748" s="2" t="s">
        <v>29</v>
      </c>
      <c r="B3748" s="2">
        <v>391.0089633</v>
      </c>
      <c r="C3748" s="2" t="s">
        <v>983</v>
      </c>
      <c r="D3748" s="2" t="s">
        <v>982</v>
      </c>
      <c r="E3748" s="2" t="s">
        <v>69</v>
      </c>
      <c r="F3748" s="3">
        <v>43389</v>
      </c>
      <c r="G3748" s="2" t="str">
        <f>"9780253036568"</f>
        <v>9780253036568</v>
      </c>
      <c r="H3748" s="2" t="s">
        <v>14</v>
      </c>
      <c r="I3748" s="4">
        <v>43970.568055555559</v>
      </c>
      <c r="J3748" s="2" t="s">
        <v>984</v>
      </c>
    </row>
    <row r="3749" spans="1:10" ht="135" x14ac:dyDescent="0.25">
      <c r="A3749" s="2" t="s">
        <v>29</v>
      </c>
      <c r="B3749" s="2" t="s">
        <v>1268</v>
      </c>
      <c r="C3749" s="2" t="s">
        <v>1269</v>
      </c>
      <c r="D3749" s="2" t="s">
        <v>1267</v>
      </c>
      <c r="E3749" s="2" t="s">
        <v>89</v>
      </c>
      <c r="F3749" s="3">
        <v>39539</v>
      </c>
      <c r="G3749" s="2" t="str">
        <f>"9780857450371"</f>
        <v>9780857450371</v>
      </c>
      <c r="H3749" s="2" t="s">
        <v>14</v>
      </c>
      <c r="I3749" s="4">
        <v>43952.42291666667</v>
      </c>
      <c r="J3749" s="2" t="s">
        <v>1270</v>
      </c>
    </row>
    <row r="3750" spans="1:10" ht="135" x14ac:dyDescent="0.25">
      <c r="A3750" s="2" t="s">
        <v>29</v>
      </c>
      <c r="B3750" s="2">
        <v>301.63309600000002</v>
      </c>
      <c r="C3750" s="2" t="s">
        <v>3603</v>
      </c>
      <c r="D3750" s="2" t="s">
        <v>3602</v>
      </c>
      <c r="E3750" s="2" t="s">
        <v>212</v>
      </c>
      <c r="F3750" s="3">
        <v>43502</v>
      </c>
      <c r="G3750" s="2" t="str">
        <f>"9789956550326"</f>
        <v>9789956550326</v>
      </c>
      <c r="H3750" s="2" t="s">
        <v>14</v>
      </c>
      <c r="I3750" s="4">
        <v>43772.678472222222</v>
      </c>
      <c r="J3750" s="2" t="s">
        <v>3604</v>
      </c>
    </row>
    <row r="3751" spans="1:10" ht="135" x14ac:dyDescent="0.25">
      <c r="A3751" s="2" t="s">
        <v>29</v>
      </c>
      <c r="B3751" s="2">
        <v>305.40975500000002</v>
      </c>
      <c r="C3751" s="2" t="s">
        <v>3524</v>
      </c>
      <c r="D3751" s="2" t="s">
        <v>3523</v>
      </c>
      <c r="E3751" s="2" t="s">
        <v>322</v>
      </c>
      <c r="F3751" s="3">
        <v>42095</v>
      </c>
      <c r="G3751" s="2" t="str">
        <f>"9780820347417"</f>
        <v>9780820347417</v>
      </c>
      <c r="H3751" s="2" t="s">
        <v>14</v>
      </c>
      <c r="I3751" s="4">
        <v>43777.739583333336</v>
      </c>
      <c r="J3751" s="2" t="s">
        <v>3525</v>
      </c>
    </row>
    <row r="3752" spans="1:10" ht="135" x14ac:dyDescent="0.25">
      <c r="A3752" s="2" t="s">
        <v>29</v>
      </c>
      <c r="B3752" s="2">
        <v>306.77086642</v>
      </c>
      <c r="C3752" s="2" t="s">
        <v>12471</v>
      </c>
      <c r="D3752" s="2" t="s">
        <v>12470</v>
      </c>
      <c r="E3752" s="2" t="s">
        <v>216</v>
      </c>
      <c r="F3752" s="3">
        <v>41609</v>
      </c>
      <c r="G3752" s="2" t="str">
        <f>"9781438448794"</f>
        <v>9781438448794</v>
      </c>
      <c r="H3752" s="2" t="s">
        <v>14</v>
      </c>
      <c r="I3752" s="4">
        <v>42803.577777777777</v>
      </c>
      <c r="J3752" s="2" t="s">
        <v>12472</v>
      </c>
    </row>
    <row r="3753" spans="1:10" ht="135" x14ac:dyDescent="0.25">
      <c r="A3753" s="2" t="s">
        <v>29</v>
      </c>
      <c r="B3753" s="2" t="s">
        <v>12592</v>
      </c>
      <c r="C3753" s="2" t="s">
        <v>12593</v>
      </c>
      <c r="D3753" s="2" t="s">
        <v>12591</v>
      </c>
      <c r="E3753" s="2" t="s">
        <v>755</v>
      </c>
      <c r="F3753" s="3">
        <v>41640</v>
      </c>
      <c r="G3753" s="2" t="str">
        <f>"9781464803604"</f>
        <v>9781464803604</v>
      </c>
      <c r="H3753" s="2" t="s">
        <v>14</v>
      </c>
      <c r="I3753" s="4">
        <v>42791.884027777778</v>
      </c>
      <c r="J3753" s="2" t="s">
        <v>12594</v>
      </c>
    </row>
    <row r="3754" spans="1:10" ht="135" x14ac:dyDescent="0.25">
      <c r="A3754" s="2" t="s">
        <v>29</v>
      </c>
      <c r="B3754" s="2">
        <v>361.20139999999998</v>
      </c>
      <c r="C3754" s="2" t="s">
        <v>12330</v>
      </c>
      <c r="D3754" s="2" t="s">
        <v>12329</v>
      </c>
      <c r="E3754" s="2" t="s">
        <v>723</v>
      </c>
      <c r="F3754" s="3">
        <v>41136</v>
      </c>
      <c r="G3754" s="2" t="str">
        <f>"9781612492384"</f>
        <v>9781612492384</v>
      </c>
      <c r="H3754" s="2" t="s">
        <v>14</v>
      </c>
      <c r="I3754" s="4">
        <v>42815.558333333334</v>
      </c>
      <c r="J3754" s="2" t="s">
        <v>12331</v>
      </c>
    </row>
    <row r="3755" spans="1:10" ht="150" x14ac:dyDescent="0.25">
      <c r="A3755" s="2" t="s">
        <v>29</v>
      </c>
      <c r="B3755" s="2">
        <v>365.65</v>
      </c>
      <c r="C3755" s="2" t="s">
        <v>2238</v>
      </c>
      <c r="D3755" s="2" t="s">
        <v>2237</v>
      </c>
      <c r="E3755" s="2" t="s">
        <v>156</v>
      </c>
      <c r="F3755" s="3">
        <v>43843</v>
      </c>
      <c r="G3755" s="2" t="str">
        <f>"9781469653594"</f>
        <v>9781469653594</v>
      </c>
      <c r="H3755" s="2" t="s">
        <v>14</v>
      </c>
      <c r="I3755" s="4">
        <v>43898.652777777781</v>
      </c>
      <c r="J3755" s="2" t="s">
        <v>2239</v>
      </c>
    </row>
    <row r="3756" spans="1:10" ht="135" x14ac:dyDescent="0.25">
      <c r="A3756" s="2" t="s">
        <v>29</v>
      </c>
      <c r="B3756" s="2">
        <v>363.32499999999999</v>
      </c>
      <c r="C3756" s="2" t="s">
        <v>9857</v>
      </c>
      <c r="D3756" s="2" t="s">
        <v>9856</v>
      </c>
      <c r="E3756" s="2" t="s">
        <v>235</v>
      </c>
      <c r="F3756" s="3">
        <v>42339</v>
      </c>
      <c r="G3756" s="2" t="str">
        <f>"9781440837555"</f>
        <v>9781440837555</v>
      </c>
      <c r="H3756" s="2" t="s">
        <v>14</v>
      </c>
      <c r="I3756" s="4">
        <v>43124.579861111109</v>
      </c>
      <c r="J3756" s="2" t="s">
        <v>9858</v>
      </c>
    </row>
    <row r="3757" spans="1:10" ht="135" x14ac:dyDescent="0.25">
      <c r="A3757" s="2" t="s">
        <v>29</v>
      </c>
      <c r="B3757" s="2">
        <v>306.81097299999999</v>
      </c>
      <c r="C3757" s="2" t="s">
        <v>9973</v>
      </c>
      <c r="D3757" s="2" t="s">
        <v>9972</v>
      </c>
      <c r="E3757" s="2" t="s">
        <v>180</v>
      </c>
      <c r="F3757" s="3">
        <v>42314</v>
      </c>
      <c r="G3757" s="2" t="str">
        <f>"9781479822249"</f>
        <v>9781479822249</v>
      </c>
      <c r="H3757" s="2" t="s">
        <v>14</v>
      </c>
      <c r="I3757" s="4">
        <v>43115.568749999999</v>
      </c>
      <c r="J3757" s="2" t="s">
        <v>9974</v>
      </c>
    </row>
    <row r="3758" spans="1:10" ht="135" x14ac:dyDescent="0.25">
      <c r="A3758" s="2" t="s">
        <v>29</v>
      </c>
      <c r="B3758" s="2">
        <v>305.80097593810001</v>
      </c>
      <c r="C3758" s="2" t="s">
        <v>6508</v>
      </c>
      <c r="D3758" s="2" t="s">
        <v>6507</v>
      </c>
      <c r="E3758" s="2" t="s">
        <v>156</v>
      </c>
      <c r="F3758" s="3">
        <v>43059</v>
      </c>
      <c r="G3758" s="2" t="str">
        <f>"9781469635224"</f>
        <v>9781469635224</v>
      </c>
      <c r="H3758" s="2" t="s">
        <v>14</v>
      </c>
      <c r="I3758" s="4">
        <v>43511.688888888886</v>
      </c>
      <c r="J3758" s="2" t="s">
        <v>6509</v>
      </c>
    </row>
    <row r="3759" spans="1:10" ht="150" x14ac:dyDescent="0.25">
      <c r="A3759" s="2" t="s">
        <v>29</v>
      </c>
      <c r="B3759" s="2" t="s">
        <v>726</v>
      </c>
      <c r="C3759" s="2" t="s">
        <v>6153</v>
      </c>
      <c r="D3759" s="2" t="s">
        <v>6152</v>
      </c>
      <c r="E3759" s="2" t="s">
        <v>41</v>
      </c>
      <c r="F3759" s="3">
        <v>42871</v>
      </c>
      <c r="G3759" s="2" t="str">
        <f>"9780817391188"</f>
        <v>9780817391188</v>
      </c>
      <c r="H3759" s="2" t="s">
        <v>14</v>
      </c>
      <c r="I3759" s="4">
        <v>43535.939583333333</v>
      </c>
      <c r="J3759" s="2" t="s">
        <v>6154</v>
      </c>
    </row>
    <row r="3760" spans="1:10" ht="135" x14ac:dyDescent="0.25">
      <c r="A3760" s="2" t="s">
        <v>29</v>
      </c>
      <c r="B3760" s="2">
        <v>305.8</v>
      </c>
      <c r="C3760" s="2" t="s">
        <v>9525</v>
      </c>
      <c r="D3760" s="2" t="s">
        <v>9524</v>
      </c>
      <c r="E3760" s="2" t="s">
        <v>89</v>
      </c>
      <c r="F3760" s="3">
        <v>42338</v>
      </c>
      <c r="G3760" s="2" t="str">
        <f>"9781782386131"</f>
        <v>9781782386131</v>
      </c>
      <c r="H3760" s="2" t="s">
        <v>14</v>
      </c>
      <c r="I3760" s="4">
        <v>43158.622916666667</v>
      </c>
      <c r="J3760" s="2" t="s">
        <v>9526</v>
      </c>
    </row>
    <row r="3761" spans="1:10" ht="165" x14ac:dyDescent="0.25">
      <c r="A3761" s="2" t="s">
        <v>29</v>
      </c>
      <c r="B3761" s="2" t="s">
        <v>8352</v>
      </c>
      <c r="C3761" s="2" t="s">
        <v>8353</v>
      </c>
      <c r="D3761" s="2" t="s">
        <v>8351</v>
      </c>
      <c r="E3761" s="2" t="s">
        <v>578</v>
      </c>
      <c r="F3761" s="3">
        <v>41968</v>
      </c>
      <c r="G3761" s="2" t="str">
        <f>"9780252096846"</f>
        <v>9780252096846</v>
      </c>
      <c r="H3761" s="2" t="s">
        <v>14</v>
      </c>
      <c r="I3761" s="4">
        <v>43318.400694444441</v>
      </c>
      <c r="J3761" s="2" t="s">
        <v>8354</v>
      </c>
    </row>
    <row r="3762" spans="1:10" ht="135" x14ac:dyDescent="0.25">
      <c r="A3762" s="2" t="s">
        <v>29</v>
      </c>
      <c r="B3762" s="2" t="s">
        <v>759</v>
      </c>
      <c r="C3762" s="2" t="s">
        <v>153</v>
      </c>
      <c r="D3762" s="2" t="s">
        <v>758</v>
      </c>
      <c r="E3762" s="2" t="s">
        <v>17</v>
      </c>
      <c r="F3762" s="3">
        <v>41010</v>
      </c>
      <c r="G3762" s="2" t="str">
        <f>"9780230390294"</f>
        <v>9780230390294</v>
      </c>
      <c r="H3762" s="2" t="s">
        <v>14</v>
      </c>
      <c r="I3762" s="4">
        <v>43991.551388888889</v>
      </c>
      <c r="J3762" s="2" t="s">
        <v>760</v>
      </c>
    </row>
    <row r="3763" spans="1:10" ht="135" x14ac:dyDescent="0.25">
      <c r="A3763" s="2" t="s">
        <v>29</v>
      </c>
      <c r="B3763" s="2" t="s">
        <v>1399</v>
      </c>
      <c r="C3763" s="2" t="s">
        <v>1400</v>
      </c>
      <c r="D3763" s="2" t="s">
        <v>1398</v>
      </c>
      <c r="E3763" s="2" t="s">
        <v>585</v>
      </c>
      <c r="F3763" s="3">
        <v>38534</v>
      </c>
      <c r="G3763" s="2" t="str">
        <f>"9780226707549"</f>
        <v>9780226707549</v>
      </c>
      <c r="H3763" s="2" t="s">
        <v>14</v>
      </c>
      <c r="I3763" s="4">
        <v>43945.515277777777</v>
      </c>
      <c r="J3763" s="2" t="s">
        <v>1401</v>
      </c>
    </row>
    <row r="3764" spans="1:10" ht="135" x14ac:dyDescent="0.25">
      <c r="A3764" s="2" t="s">
        <v>29</v>
      </c>
      <c r="B3764" s="2">
        <v>364.15108199999997</v>
      </c>
      <c r="C3764" s="2" t="s">
        <v>7465</v>
      </c>
      <c r="D3764" s="2" t="s">
        <v>7464</v>
      </c>
      <c r="E3764" s="2" t="s">
        <v>69</v>
      </c>
      <c r="F3764" s="3">
        <v>43200</v>
      </c>
      <c r="G3764" s="2" t="str">
        <f>"9780253033840"</f>
        <v>9780253033840</v>
      </c>
      <c r="H3764" s="2" t="s">
        <v>14</v>
      </c>
      <c r="I3764" s="4">
        <v>43414.686805555553</v>
      </c>
      <c r="J3764" s="2" t="s">
        <v>7466</v>
      </c>
    </row>
    <row r="3765" spans="1:10" ht="135" x14ac:dyDescent="0.25">
      <c r="A3765" s="2" t="s">
        <v>29</v>
      </c>
      <c r="B3765" s="2">
        <v>305.409561</v>
      </c>
      <c r="C3765" s="2" t="s">
        <v>12401</v>
      </c>
      <c r="D3765" s="2" t="s">
        <v>12400</v>
      </c>
      <c r="E3765" s="2" t="s">
        <v>89</v>
      </c>
      <c r="F3765" s="3">
        <v>41883</v>
      </c>
      <c r="G3765" s="2" t="str">
        <f>"9781782384120"</f>
        <v>9781782384120</v>
      </c>
      <c r="H3765" s="2" t="s">
        <v>14</v>
      </c>
      <c r="I3765" s="4">
        <v>42810.730555555558</v>
      </c>
      <c r="J3765" s="2" t="s">
        <v>12402</v>
      </c>
    </row>
    <row r="3766" spans="1:10" ht="135" x14ac:dyDescent="0.25">
      <c r="A3766" s="2" t="s">
        <v>29</v>
      </c>
      <c r="B3766" s="2">
        <v>305.409620905</v>
      </c>
      <c r="C3766" s="2" t="s">
        <v>2929</v>
      </c>
      <c r="D3766" s="2" t="s">
        <v>2928</v>
      </c>
      <c r="E3766" s="2" t="s">
        <v>69</v>
      </c>
      <c r="F3766" s="3">
        <v>43558</v>
      </c>
      <c r="G3766" s="2" t="str">
        <f>"9780253040640"</f>
        <v>9780253040640</v>
      </c>
      <c r="H3766" s="2" t="s">
        <v>14</v>
      </c>
      <c r="I3766" s="4">
        <v>43842.864583333336</v>
      </c>
      <c r="J3766" s="2" t="s">
        <v>2930</v>
      </c>
    </row>
    <row r="3767" spans="1:10" ht="135" x14ac:dyDescent="0.25">
      <c r="A3767" s="2" t="s">
        <v>29</v>
      </c>
      <c r="B3767" s="2">
        <v>305.42</v>
      </c>
      <c r="C3767" s="2" t="s">
        <v>1082</v>
      </c>
      <c r="D3767" s="2" t="s">
        <v>1600</v>
      </c>
      <c r="E3767" s="2" t="s">
        <v>37</v>
      </c>
      <c r="F3767" s="3">
        <v>43063</v>
      </c>
      <c r="G3767" s="2" t="str">
        <f>"9783319648460"</f>
        <v>9783319648460</v>
      </c>
      <c r="H3767" s="2" t="s">
        <v>14</v>
      </c>
      <c r="I3767" s="4">
        <v>43935.777777777781</v>
      </c>
      <c r="J3767" s="2" t="s">
        <v>1601</v>
      </c>
    </row>
    <row r="3768" spans="1:10" ht="135" x14ac:dyDescent="0.25">
      <c r="A3768" s="2" t="s">
        <v>29</v>
      </c>
      <c r="B3768" s="2">
        <v>305.80096309999999</v>
      </c>
      <c r="C3768" s="2" t="s">
        <v>3164</v>
      </c>
      <c r="D3768" s="2" t="s">
        <v>3163</v>
      </c>
      <c r="E3768" s="2" t="s">
        <v>856</v>
      </c>
      <c r="F3768" s="3">
        <v>43647</v>
      </c>
      <c r="G3768" s="2" t="str">
        <f>"9780295745848"</f>
        <v>9780295745848</v>
      </c>
      <c r="H3768" s="2" t="s">
        <v>14</v>
      </c>
      <c r="I3768" s="4">
        <v>43802.672222222223</v>
      </c>
      <c r="J3768" s="2" t="s">
        <v>3165</v>
      </c>
    </row>
    <row r="3769" spans="1:10" ht="165" x14ac:dyDescent="0.25">
      <c r="A3769" s="2" t="s">
        <v>29</v>
      </c>
      <c r="B3769" s="2">
        <v>306.87432095693998</v>
      </c>
      <c r="C3769" s="2" t="s">
        <v>5595</v>
      </c>
      <c r="D3769" s="2" t="s">
        <v>5594</v>
      </c>
      <c r="E3769" s="2" t="s">
        <v>50</v>
      </c>
      <c r="F3769" s="3">
        <v>43282</v>
      </c>
      <c r="G3769" s="2" t="str">
        <f>"9781496207500"</f>
        <v>9781496207500</v>
      </c>
      <c r="H3769" s="2" t="s">
        <v>14</v>
      </c>
      <c r="I3769" s="4">
        <v>43586.640972222223</v>
      </c>
      <c r="J3769" s="2" t="s">
        <v>5596</v>
      </c>
    </row>
    <row r="3770" spans="1:10" ht="135" x14ac:dyDescent="0.25">
      <c r="A3770" s="2" t="s">
        <v>29</v>
      </c>
      <c r="B3770" s="2">
        <v>302.23083500000001</v>
      </c>
      <c r="C3770" s="2" t="s">
        <v>153</v>
      </c>
      <c r="D3770" s="2" t="s">
        <v>12476</v>
      </c>
      <c r="E3770" s="2" t="s">
        <v>37</v>
      </c>
      <c r="F3770" s="3">
        <v>42499</v>
      </c>
      <c r="G3770" s="2" t="str">
        <f>"9783319278933"</f>
        <v>9783319278933</v>
      </c>
      <c r="H3770" s="2" t="s">
        <v>14</v>
      </c>
      <c r="I3770" s="4">
        <v>42803.420138888891</v>
      </c>
      <c r="J3770" s="2" t="s">
        <v>12477</v>
      </c>
    </row>
    <row r="3771" spans="1:10" ht="135" x14ac:dyDescent="0.25">
      <c r="A3771" s="2" t="s">
        <v>29</v>
      </c>
      <c r="B3771" s="2">
        <v>302.23097300000001</v>
      </c>
      <c r="C3771" s="2" t="s">
        <v>10360</v>
      </c>
      <c r="D3771" s="2" t="s">
        <v>10359</v>
      </c>
      <c r="E3771" s="2" t="s">
        <v>578</v>
      </c>
      <c r="F3771" s="3">
        <v>42776</v>
      </c>
      <c r="G3771" s="2" t="str">
        <f>"9780252099441"</f>
        <v>9780252099441</v>
      </c>
      <c r="H3771" s="2" t="s">
        <v>14</v>
      </c>
      <c r="I3771" s="4">
        <v>43065.504166666666</v>
      </c>
      <c r="J3771" s="2" t="s">
        <v>10361</v>
      </c>
    </row>
    <row r="3772" spans="1:10" ht="135" x14ac:dyDescent="0.25">
      <c r="A3772" s="2" t="s">
        <v>8429</v>
      </c>
      <c r="B3772" s="2">
        <v>361.20974699999999</v>
      </c>
      <c r="C3772" s="2" t="s">
        <v>8430</v>
      </c>
      <c r="D3772" s="2" t="s">
        <v>8428</v>
      </c>
      <c r="E3772" s="2" t="s">
        <v>322</v>
      </c>
      <c r="F3772" s="3">
        <v>42520</v>
      </c>
      <c r="G3772" s="2" t="str">
        <f>"9780820349480"</f>
        <v>9780820349480</v>
      </c>
      <c r="H3772" s="2" t="s">
        <v>14</v>
      </c>
      <c r="I3772" s="4">
        <v>43308.773611111108</v>
      </c>
      <c r="J3772" s="2" t="s">
        <v>8431</v>
      </c>
    </row>
    <row r="3773" spans="1:10" ht="135" x14ac:dyDescent="0.25">
      <c r="A3773" s="2" t="s">
        <v>2100</v>
      </c>
      <c r="B3773" s="2" t="s">
        <v>6969</v>
      </c>
      <c r="C3773" s="2" t="s">
        <v>6970</v>
      </c>
      <c r="D3773" s="2" t="s">
        <v>6968</v>
      </c>
      <c r="E3773" s="2" t="s">
        <v>578</v>
      </c>
      <c r="F3773" s="3">
        <v>42660</v>
      </c>
      <c r="G3773" s="2" t="str">
        <f>"9780252098932"</f>
        <v>9780252098932</v>
      </c>
      <c r="H3773" s="2" t="s">
        <v>14</v>
      </c>
      <c r="I3773" s="4">
        <v>43471.930555555555</v>
      </c>
      <c r="J3773" s="2" t="s">
        <v>6971</v>
      </c>
    </row>
    <row r="3774" spans="1:10" ht="135" x14ac:dyDescent="0.25">
      <c r="A3774" s="2" t="s">
        <v>2100</v>
      </c>
      <c r="B3774" s="2">
        <v>364.13360972700002</v>
      </c>
      <c r="C3774" s="2" t="s">
        <v>4322</v>
      </c>
      <c r="D3774" s="2" t="s">
        <v>4321</v>
      </c>
      <c r="E3774" s="2" t="s">
        <v>54</v>
      </c>
      <c r="F3774" s="3">
        <v>43095</v>
      </c>
      <c r="G3774" s="2" t="str">
        <f>"9781503603998"</f>
        <v>9781503603998</v>
      </c>
      <c r="H3774" s="2" t="s">
        <v>14</v>
      </c>
      <c r="I3774" s="4">
        <v>43682.863194444442</v>
      </c>
      <c r="J3774" s="2" t="s">
        <v>4323</v>
      </c>
    </row>
    <row r="3775" spans="1:10" ht="135" x14ac:dyDescent="0.25">
      <c r="A3775" s="2" t="s">
        <v>2100</v>
      </c>
      <c r="B3775" s="2">
        <v>306.3</v>
      </c>
      <c r="C3775" s="2" t="s">
        <v>9375</v>
      </c>
      <c r="D3775" s="2" t="s">
        <v>9374</v>
      </c>
      <c r="E3775" s="2" t="s">
        <v>216</v>
      </c>
      <c r="F3775" s="3">
        <v>42036</v>
      </c>
      <c r="G3775" s="2" t="str">
        <f>"9781438454870"</f>
        <v>9781438454870</v>
      </c>
      <c r="H3775" s="2" t="s">
        <v>14</v>
      </c>
      <c r="I3775" s="4">
        <v>43177.8125</v>
      </c>
      <c r="J3775" s="2" t="s">
        <v>9376</v>
      </c>
    </row>
    <row r="3776" spans="1:10" ht="135" x14ac:dyDescent="0.25">
      <c r="A3776" s="2" t="s">
        <v>2100</v>
      </c>
      <c r="B3776" s="2" t="s">
        <v>2768</v>
      </c>
      <c r="C3776" s="2" t="s">
        <v>2769</v>
      </c>
      <c r="D3776" s="2" t="s">
        <v>2767</v>
      </c>
      <c r="E3776" s="2" t="s">
        <v>69</v>
      </c>
      <c r="F3776" s="3">
        <v>42156</v>
      </c>
      <c r="G3776" s="2" t="str">
        <f>"9780253017161"</f>
        <v>9780253017161</v>
      </c>
      <c r="H3776" s="2" t="s">
        <v>14</v>
      </c>
      <c r="I3776" s="4">
        <v>43858.713888888888</v>
      </c>
      <c r="J3776" s="2" t="s">
        <v>2770</v>
      </c>
    </row>
    <row r="3777" spans="1:10" ht="135" x14ac:dyDescent="0.25">
      <c r="A3777" s="2" t="s">
        <v>2100</v>
      </c>
      <c r="B3777" s="2">
        <v>361.70684</v>
      </c>
      <c r="C3777" s="2" t="s">
        <v>4752</v>
      </c>
      <c r="D3777" s="2" t="s">
        <v>4751</v>
      </c>
      <c r="E3777" s="2" t="s">
        <v>54</v>
      </c>
      <c r="F3777" s="3">
        <v>43662</v>
      </c>
      <c r="G3777" s="2" t="str">
        <f>"9781503609211"</f>
        <v>9781503609211</v>
      </c>
      <c r="H3777" s="2" t="s">
        <v>14</v>
      </c>
      <c r="I3777" s="4">
        <v>43632.370138888888</v>
      </c>
      <c r="J3777" s="2" t="s">
        <v>4753</v>
      </c>
    </row>
    <row r="3778" spans="1:10" ht="135" x14ac:dyDescent="0.25">
      <c r="A3778" s="2" t="s">
        <v>2100</v>
      </c>
      <c r="B3778" s="2">
        <v>305.569209941</v>
      </c>
      <c r="C3778" s="2" t="s">
        <v>3735</v>
      </c>
      <c r="D3778" s="2" t="s">
        <v>3733</v>
      </c>
      <c r="E3778" s="2" t="s">
        <v>3734</v>
      </c>
      <c r="F3778" s="3">
        <v>37347</v>
      </c>
      <c r="G3778" s="2" t="str">
        <f>"9781742580326"</f>
        <v>9781742580326</v>
      </c>
      <c r="H3778" s="2" t="s">
        <v>14</v>
      </c>
      <c r="I3778" s="4">
        <v>43760.683333333334</v>
      </c>
      <c r="J3778" s="2" t="s">
        <v>3736</v>
      </c>
    </row>
    <row r="3779" spans="1:10" ht="150" x14ac:dyDescent="0.25">
      <c r="A3779" s="2" t="s">
        <v>2100</v>
      </c>
      <c r="B3779" s="2">
        <v>363.51</v>
      </c>
      <c r="C3779" s="2" t="s">
        <v>4720</v>
      </c>
      <c r="D3779" s="2" t="s">
        <v>4719</v>
      </c>
      <c r="E3779" s="2" t="s">
        <v>216</v>
      </c>
      <c r="F3779" s="3">
        <v>41671</v>
      </c>
      <c r="G3779" s="2" t="str">
        <f>"9781438449449"</f>
        <v>9781438449449</v>
      </c>
      <c r="H3779" s="2" t="s">
        <v>14</v>
      </c>
      <c r="I3779" s="4">
        <v>43634.979861111111</v>
      </c>
      <c r="J3779" s="2" t="s">
        <v>4721</v>
      </c>
    </row>
    <row r="3780" spans="1:10" ht="165" x14ac:dyDescent="0.25">
      <c r="A3780" s="2" t="s">
        <v>2100</v>
      </c>
      <c r="B3780" s="2" t="s">
        <v>10422</v>
      </c>
      <c r="C3780" s="2" t="s">
        <v>10423</v>
      </c>
      <c r="D3780" s="2" t="s">
        <v>10421</v>
      </c>
      <c r="E3780" s="2" t="s">
        <v>578</v>
      </c>
      <c r="F3780" s="3">
        <v>38721</v>
      </c>
      <c r="G3780" s="2" t="str">
        <f>"9780252092619"</f>
        <v>9780252092619</v>
      </c>
      <c r="H3780" s="2" t="s">
        <v>14</v>
      </c>
      <c r="I3780" s="4">
        <v>43059.138888888891</v>
      </c>
      <c r="J3780" s="2" t="s">
        <v>10424</v>
      </c>
    </row>
    <row r="3781" spans="1:10" ht="135" x14ac:dyDescent="0.25">
      <c r="A3781" s="2" t="s">
        <v>2100</v>
      </c>
      <c r="B3781" s="2" t="s">
        <v>9528</v>
      </c>
      <c r="C3781" s="2" t="s">
        <v>9529</v>
      </c>
      <c r="D3781" s="2" t="s">
        <v>9527</v>
      </c>
      <c r="E3781" s="2" t="s">
        <v>755</v>
      </c>
      <c r="F3781" s="3">
        <v>42005</v>
      </c>
      <c r="G3781" s="2" t="str">
        <f>"9781464804366"</f>
        <v>9781464804366</v>
      </c>
      <c r="H3781" s="2" t="s">
        <v>14</v>
      </c>
      <c r="I3781" s="4">
        <v>43158.39166666667</v>
      </c>
      <c r="J3781" s="2" t="s">
        <v>9530</v>
      </c>
    </row>
    <row r="3782" spans="1:10" ht="135" x14ac:dyDescent="0.25">
      <c r="A3782" s="2" t="s">
        <v>2100</v>
      </c>
      <c r="B3782" s="2">
        <v>362.5</v>
      </c>
      <c r="C3782" s="2" t="s">
        <v>10426</v>
      </c>
      <c r="D3782" s="2" t="s">
        <v>10425</v>
      </c>
      <c r="E3782" s="2" t="s">
        <v>755</v>
      </c>
      <c r="F3782" s="3">
        <v>42331</v>
      </c>
      <c r="G3782" s="2" t="str">
        <f>"9781464806742"</f>
        <v>9781464806742</v>
      </c>
      <c r="H3782" s="2" t="s">
        <v>14</v>
      </c>
      <c r="I3782" s="4">
        <v>43059.134027777778</v>
      </c>
      <c r="J3782" s="2" t="s">
        <v>10427</v>
      </c>
    </row>
    <row r="3783" spans="1:10" ht="165" x14ac:dyDescent="0.25">
      <c r="A3783" s="2" t="s">
        <v>2100</v>
      </c>
      <c r="B3783" s="2" t="s">
        <v>5451</v>
      </c>
      <c r="C3783" s="2" t="s">
        <v>5452</v>
      </c>
      <c r="D3783" s="2" t="s">
        <v>5450</v>
      </c>
      <c r="E3783" s="2" t="s">
        <v>69</v>
      </c>
      <c r="F3783" s="3">
        <v>43525</v>
      </c>
      <c r="G3783" s="2" t="str">
        <f>"9780253039880"</f>
        <v>9780253039880</v>
      </c>
      <c r="H3783" s="2" t="s">
        <v>14</v>
      </c>
      <c r="I3783" s="4">
        <v>43598.42291666667</v>
      </c>
      <c r="J3783" s="2" t="s">
        <v>5453</v>
      </c>
    </row>
    <row r="3784" spans="1:10" ht="135" x14ac:dyDescent="0.25">
      <c r="A3784" s="2" t="s">
        <v>2100</v>
      </c>
      <c r="B3784" s="2">
        <v>302.2</v>
      </c>
      <c r="C3784" s="2" t="s">
        <v>2101</v>
      </c>
      <c r="D3784" s="2" t="s">
        <v>2098</v>
      </c>
      <c r="E3784" s="2" t="s">
        <v>2099</v>
      </c>
      <c r="F3784" s="3">
        <v>43087</v>
      </c>
      <c r="G3784" s="2" t="str">
        <f>"9781119424871"</f>
        <v>9781119424871</v>
      </c>
      <c r="H3784" s="2" t="s">
        <v>14</v>
      </c>
      <c r="I3784" s="4">
        <v>43913.781944444447</v>
      </c>
      <c r="J3784" s="2" t="s">
        <v>2102</v>
      </c>
    </row>
    <row r="3785" spans="1:10" ht="135" x14ac:dyDescent="0.25">
      <c r="A3785" s="2" t="s">
        <v>2100</v>
      </c>
      <c r="B3785" s="2">
        <v>362.87097</v>
      </c>
      <c r="C3785" s="2" t="s">
        <v>3644</v>
      </c>
      <c r="D3785" s="2" t="s">
        <v>3643</v>
      </c>
      <c r="E3785" s="2" t="s">
        <v>130</v>
      </c>
      <c r="F3785" s="3">
        <v>43662</v>
      </c>
      <c r="G3785" s="2" t="str">
        <f>"9780813057163"</f>
        <v>9780813057163</v>
      </c>
      <c r="H3785" s="2" t="s">
        <v>14</v>
      </c>
      <c r="I3785" s="4">
        <v>43769.500694444447</v>
      </c>
      <c r="J3785" s="2" t="s">
        <v>3645</v>
      </c>
    </row>
    <row r="3786" spans="1:10" ht="135" x14ac:dyDescent="0.25">
      <c r="A3786" s="2" t="s">
        <v>2100</v>
      </c>
      <c r="B3786" s="2">
        <v>362.55250981299997</v>
      </c>
      <c r="C3786" s="2" t="s">
        <v>11515</v>
      </c>
      <c r="D3786" s="2" t="s">
        <v>11514</v>
      </c>
      <c r="E3786" s="2" t="s">
        <v>156</v>
      </c>
      <c r="F3786" s="3">
        <v>41778</v>
      </c>
      <c r="G3786" s="2" t="str">
        <f>"9781469613987"</f>
        <v>9781469613987</v>
      </c>
      <c r="H3786" s="2" t="s">
        <v>14</v>
      </c>
      <c r="I3786" s="4">
        <v>42944.457638888889</v>
      </c>
      <c r="J3786" s="2" t="s">
        <v>11516</v>
      </c>
    </row>
    <row r="3787" spans="1:10" ht="135" x14ac:dyDescent="0.25">
      <c r="A3787" s="2" t="s">
        <v>11110</v>
      </c>
      <c r="B3787" s="2">
        <v>302.23099999999999</v>
      </c>
      <c r="C3787" s="2" t="s">
        <v>11111</v>
      </c>
      <c r="D3787" s="2" t="s">
        <v>11109</v>
      </c>
      <c r="E3787" s="2" t="s">
        <v>1085</v>
      </c>
      <c r="F3787" s="3">
        <v>42304</v>
      </c>
      <c r="G3787" s="2" t="str">
        <f>"9780081007020"</f>
        <v>9780081007020</v>
      </c>
      <c r="H3787" s="2" t="s">
        <v>14</v>
      </c>
      <c r="I3787" s="4">
        <v>43017.5</v>
      </c>
      <c r="J3787" s="2" t="s">
        <v>11112</v>
      </c>
    </row>
    <row r="3788" spans="1:10" ht="135" x14ac:dyDescent="0.25">
      <c r="A3788" s="2" t="s">
        <v>659</v>
      </c>
      <c r="B3788" s="2">
        <v>335.4</v>
      </c>
      <c r="C3788" s="2" t="s">
        <v>4545</v>
      </c>
      <c r="D3788" s="2" t="s">
        <v>4544</v>
      </c>
      <c r="E3788" s="2" t="s">
        <v>156</v>
      </c>
      <c r="F3788" s="3">
        <v>43521</v>
      </c>
      <c r="G3788" s="2" t="str">
        <f>"9781469649931"</f>
        <v>9781469649931</v>
      </c>
      <c r="H3788" s="2" t="s">
        <v>14</v>
      </c>
      <c r="I3788" s="4">
        <v>43649.375</v>
      </c>
      <c r="J3788" s="2" t="s">
        <v>4546</v>
      </c>
    </row>
    <row r="3789" spans="1:10" ht="180" x14ac:dyDescent="0.25">
      <c r="A3789" s="2" t="s">
        <v>659</v>
      </c>
      <c r="B3789" s="2" t="s">
        <v>6998</v>
      </c>
      <c r="C3789" s="2" t="s">
        <v>6999</v>
      </c>
      <c r="D3789" s="2" t="s">
        <v>6997</v>
      </c>
      <c r="E3789" s="2" t="s">
        <v>216</v>
      </c>
      <c r="F3789" s="3">
        <v>42643</v>
      </c>
      <c r="G3789" s="2" t="str">
        <f>"9781438461694"</f>
        <v>9781438461694</v>
      </c>
      <c r="H3789" s="2" t="s">
        <v>14</v>
      </c>
      <c r="I3789" s="4">
        <v>43467.429166666669</v>
      </c>
      <c r="J3789" s="2" t="s">
        <v>7000</v>
      </c>
    </row>
    <row r="3790" spans="1:10" ht="135" x14ac:dyDescent="0.25">
      <c r="A3790" s="2" t="s">
        <v>659</v>
      </c>
      <c r="B3790" s="2" t="s">
        <v>5909</v>
      </c>
      <c r="C3790" s="2" t="s">
        <v>5910</v>
      </c>
      <c r="D3790" s="2" t="s">
        <v>5908</v>
      </c>
      <c r="E3790" s="2" t="s">
        <v>216</v>
      </c>
      <c r="F3790" s="3">
        <v>43374</v>
      </c>
      <c r="G3790" s="2" t="str">
        <f>"9781438471327"</f>
        <v>9781438471327</v>
      </c>
      <c r="H3790" s="2" t="s">
        <v>14</v>
      </c>
      <c r="I3790" s="4">
        <v>43558.652083333334</v>
      </c>
      <c r="J3790" s="2" t="s">
        <v>5911</v>
      </c>
    </row>
    <row r="3791" spans="1:10" ht="135" x14ac:dyDescent="0.25">
      <c r="A3791" s="2" t="s">
        <v>659</v>
      </c>
      <c r="D3791" s="2" t="s">
        <v>658</v>
      </c>
      <c r="E3791" s="2" t="s">
        <v>54</v>
      </c>
      <c r="F3791" s="3">
        <v>43956</v>
      </c>
      <c r="G3791" s="2" t="str">
        <f>"9781503611979"</f>
        <v>9781503611979</v>
      </c>
      <c r="H3791" s="2" t="s">
        <v>14</v>
      </c>
      <c r="I3791" s="4">
        <v>44002.354861111111</v>
      </c>
      <c r="J3791" s="2" t="s">
        <v>660</v>
      </c>
    </row>
    <row r="3792" spans="1:10" ht="135" x14ac:dyDescent="0.25">
      <c r="A3792" s="2" t="s">
        <v>659</v>
      </c>
      <c r="B3792" s="2">
        <v>330.91732000000002</v>
      </c>
      <c r="C3792" s="2" t="s">
        <v>9702</v>
      </c>
      <c r="D3792" s="2" t="s">
        <v>9701</v>
      </c>
      <c r="E3792" s="2" t="s">
        <v>755</v>
      </c>
      <c r="F3792" s="3">
        <v>39778</v>
      </c>
      <c r="G3792" s="2" t="str">
        <f>"9780821375747"</f>
        <v>9780821375747</v>
      </c>
      <c r="H3792" s="2" t="s">
        <v>14</v>
      </c>
      <c r="I3792" s="4">
        <v>43136.345138888886</v>
      </c>
      <c r="J3792" s="2" t="s">
        <v>9703</v>
      </c>
    </row>
    <row r="3793" spans="1:10" ht="135" x14ac:dyDescent="0.25">
      <c r="A3793" s="2" t="s">
        <v>659</v>
      </c>
      <c r="B3793" s="2" t="s">
        <v>1435</v>
      </c>
      <c r="C3793" s="2" t="s">
        <v>1436</v>
      </c>
      <c r="D3793" s="2" t="s">
        <v>1433</v>
      </c>
      <c r="E3793" s="2" t="s">
        <v>1434</v>
      </c>
      <c r="F3793" s="3">
        <v>42795</v>
      </c>
      <c r="G3793" s="2" t="str">
        <f>"9789633861820"</f>
        <v>9789633861820</v>
      </c>
      <c r="H3793" s="2" t="s">
        <v>14</v>
      </c>
      <c r="I3793" s="4">
        <v>43943.574305555558</v>
      </c>
      <c r="J3793" s="2" t="s">
        <v>1437</v>
      </c>
    </row>
    <row r="3794" spans="1:10" ht="165" x14ac:dyDescent="0.25">
      <c r="A3794" s="2" t="s">
        <v>6627</v>
      </c>
      <c r="B3794" s="2">
        <v>338.97300905100002</v>
      </c>
      <c r="C3794" s="2" t="s">
        <v>6628</v>
      </c>
      <c r="D3794" s="2" t="s">
        <v>6626</v>
      </c>
      <c r="E3794" s="2" t="s">
        <v>268</v>
      </c>
      <c r="F3794" s="3">
        <v>41444</v>
      </c>
      <c r="G3794" s="2" t="str">
        <f>"9780815721529"</f>
        <v>9780815721529</v>
      </c>
      <c r="H3794" s="2" t="s">
        <v>14</v>
      </c>
      <c r="I3794" s="4">
        <v>43502.070138888892</v>
      </c>
      <c r="J3794" s="2" t="s">
        <v>6629</v>
      </c>
    </row>
    <row r="3795" spans="1:10" ht="135" x14ac:dyDescent="0.25">
      <c r="A3795" s="2" t="s">
        <v>7262</v>
      </c>
      <c r="B3795" s="2">
        <v>333.70139999999998</v>
      </c>
      <c r="C3795" s="2" t="s">
        <v>7263</v>
      </c>
      <c r="D3795" s="2" t="s">
        <v>7261</v>
      </c>
      <c r="E3795" s="2" t="s">
        <v>578</v>
      </c>
      <c r="F3795" s="3">
        <v>42823</v>
      </c>
      <c r="G3795" s="2" t="str">
        <f>"9780252099588"</f>
        <v>9780252099588</v>
      </c>
      <c r="H3795" s="2" t="s">
        <v>14</v>
      </c>
      <c r="I3795" s="4">
        <v>43430.631249999999</v>
      </c>
      <c r="J3795" s="2" t="s">
        <v>7264</v>
      </c>
    </row>
    <row r="3796" spans="1:10" ht="135" x14ac:dyDescent="0.25">
      <c r="A3796" s="2" t="s">
        <v>8195</v>
      </c>
      <c r="B3796" s="2">
        <v>306.08999999999997</v>
      </c>
      <c r="C3796" s="2" t="s">
        <v>8196</v>
      </c>
      <c r="D3796" s="2" t="s">
        <v>8194</v>
      </c>
      <c r="E3796" s="2" t="s">
        <v>578</v>
      </c>
      <c r="F3796" s="3">
        <v>42712</v>
      </c>
      <c r="G3796" s="2" t="str">
        <f>"9780252099113"</f>
        <v>9780252099113</v>
      </c>
      <c r="H3796" s="2" t="s">
        <v>14</v>
      </c>
      <c r="I3796" s="4">
        <v>43342.580555555556</v>
      </c>
      <c r="J3796" s="2" t="s">
        <v>8197</v>
      </c>
    </row>
    <row r="3797" spans="1:10" ht="135" x14ac:dyDescent="0.25">
      <c r="A3797" s="2" t="s">
        <v>12057</v>
      </c>
      <c r="B3797" s="2" t="s">
        <v>12058</v>
      </c>
      <c r="C3797" s="2" t="s">
        <v>12059</v>
      </c>
      <c r="D3797" s="2" t="s">
        <v>12056</v>
      </c>
      <c r="E3797" s="2" t="s">
        <v>397</v>
      </c>
      <c r="F3797" s="3">
        <v>42794</v>
      </c>
      <c r="G3797" s="2" t="str">
        <f>"9780822981954"</f>
        <v>9780822981954</v>
      </c>
      <c r="H3797" s="2" t="s">
        <v>14</v>
      </c>
      <c r="I3797" s="4">
        <v>42857.962500000001</v>
      </c>
      <c r="J3797" s="2" t="s">
        <v>12060</v>
      </c>
    </row>
    <row r="3798" spans="1:10" ht="135" x14ac:dyDescent="0.25">
      <c r="A3798" s="2" t="s">
        <v>2376</v>
      </c>
      <c r="B3798" s="2">
        <v>304.2</v>
      </c>
      <c r="C3798" s="2" t="s">
        <v>5298</v>
      </c>
      <c r="D3798" s="2" t="s">
        <v>5297</v>
      </c>
      <c r="E3798" s="2" t="s">
        <v>41</v>
      </c>
      <c r="F3798" s="3">
        <v>43494</v>
      </c>
      <c r="G3798" s="2" t="str">
        <f>"9780817392086"</f>
        <v>9780817392086</v>
      </c>
      <c r="H3798" s="2" t="s">
        <v>14</v>
      </c>
      <c r="I3798" s="4">
        <v>43605.941666666666</v>
      </c>
      <c r="J3798" s="2" t="s">
        <v>5299</v>
      </c>
    </row>
    <row r="3799" spans="1:10" ht="135" x14ac:dyDescent="0.25">
      <c r="A3799" s="2" t="s">
        <v>2376</v>
      </c>
      <c r="B3799" s="2">
        <v>304.2</v>
      </c>
      <c r="C3799" s="2" t="s">
        <v>11131</v>
      </c>
      <c r="D3799" s="2" t="s">
        <v>11130</v>
      </c>
      <c r="E3799" s="2" t="s">
        <v>460</v>
      </c>
      <c r="F3799" s="3">
        <v>42695</v>
      </c>
      <c r="G3799" s="2" t="str">
        <f>"9780773599154"</f>
        <v>9780773599154</v>
      </c>
      <c r="H3799" s="2" t="s">
        <v>14</v>
      </c>
      <c r="I3799" s="4">
        <v>43015.593055555553</v>
      </c>
      <c r="J3799" s="2" t="s">
        <v>11132</v>
      </c>
    </row>
    <row r="3800" spans="1:10" ht="135" x14ac:dyDescent="0.25">
      <c r="A3800" s="2" t="s">
        <v>2376</v>
      </c>
      <c r="B3800" s="2">
        <v>304.20947000000001</v>
      </c>
      <c r="C3800" s="2" t="s">
        <v>3134</v>
      </c>
      <c r="D3800" s="2" t="s">
        <v>3133</v>
      </c>
      <c r="E3800" s="2" t="s">
        <v>397</v>
      </c>
      <c r="F3800" s="3">
        <v>43410</v>
      </c>
      <c r="G3800" s="2" t="str">
        <f>"9780822986331"</f>
        <v>9780822986331</v>
      </c>
      <c r="H3800" s="2" t="s">
        <v>14</v>
      </c>
      <c r="I3800" s="4">
        <v>43808.62777777778</v>
      </c>
      <c r="J3800" s="2" t="s">
        <v>3135</v>
      </c>
    </row>
    <row r="3801" spans="1:10" ht="135" x14ac:dyDescent="0.25">
      <c r="A3801" s="2" t="s">
        <v>2376</v>
      </c>
      <c r="B3801" s="2">
        <v>304.20945</v>
      </c>
      <c r="C3801" s="2" t="s">
        <v>6860</v>
      </c>
      <c r="D3801" s="2" t="s">
        <v>6859</v>
      </c>
      <c r="E3801" s="2" t="s">
        <v>28</v>
      </c>
      <c r="F3801" s="3">
        <v>43186</v>
      </c>
      <c r="G3801" s="2" t="str">
        <f>"9780813941080"</f>
        <v>9780813941080</v>
      </c>
      <c r="H3801" s="2" t="s">
        <v>14</v>
      </c>
      <c r="I3801" s="4">
        <v>43481.754861111112</v>
      </c>
      <c r="J3801" s="2" t="s">
        <v>6861</v>
      </c>
    </row>
    <row r="3802" spans="1:10" ht="135" x14ac:dyDescent="0.25">
      <c r="A3802" s="2" t="s">
        <v>2376</v>
      </c>
      <c r="B3802" s="2">
        <v>304.2</v>
      </c>
      <c r="C3802" s="2" t="s">
        <v>2377</v>
      </c>
      <c r="D3802" s="2" t="s">
        <v>2375</v>
      </c>
      <c r="E3802" s="2" t="s">
        <v>73</v>
      </c>
      <c r="F3802" s="3">
        <v>43084</v>
      </c>
      <c r="G3802" s="2" t="str">
        <f>"9781452955742"</f>
        <v>9781452955742</v>
      </c>
      <c r="H3802" s="2" t="s">
        <v>14</v>
      </c>
      <c r="I3802" s="4">
        <v>43888.664583333331</v>
      </c>
      <c r="J3802" s="2" t="s">
        <v>2378</v>
      </c>
    </row>
    <row r="3803" spans="1:10" ht="135" x14ac:dyDescent="0.25">
      <c r="A3803" s="2" t="s">
        <v>10012</v>
      </c>
      <c r="B3803" s="2">
        <v>333.95159999999998</v>
      </c>
      <c r="C3803" s="2" t="s">
        <v>153</v>
      </c>
      <c r="D3803" s="2" t="s">
        <v>10011</v>
      </c>
      <c r="E3803" s="2" t="s">
        <v>37</v>
      </c>
      <c r="F3803" s="3">
        <v>43009</v>
      </c>
      <c r="G3803" s="2" t="str">
        <f>"9783319605791"</f>
        <v>9783319605791</v>
      </c>
      <c r="H3803" s="2" t="s">
        <v>14</v>
      </c>
      <c r="I3803" s="4">
        <v>43111.60833333333</v>
      </c>
      <c r="J3803" s="2" t="s">
        <v>10013</v>
      </c>
    </row>
    <row r="3804" spans="1:10" ht="135" x14ac:dyDescent="0.25">
      <c r="A3804" s="2" t="s">
        <v>2118</v>
      </c>
      <c r="B3804" s="2">
        <v>791.43094299999996</v>
      </c>
      <c r="C3804" s="2" t="s">
        <v>1082</v>
      </c>
      <c r="D3804" s="2" t="s">
        <v>10897</v>
      </c>
      <c r="E3804" s="2" t="s">
        <v>37</v>
      </c>
      <c r="F3804" s="3">
        <v>42719</v>
      </c>
      <c r="G3804" s="2" t="str">
        <f>"9783319393186"</f>
        <v>9783319393186</v>
      </c>
      <c r="H3804" s="2" t="s">
        <v>14</v>
      </c>
      <c r="I3804" s="4">
        <v>43030.455555555556</v>
      </c>
      <c r="J3804" s="2" t="s">
        <v>10898</v>
      </c>
    </row>
    <row r="3805" spans="1:10" ht="135" x14ac:dyDescent="0.25">
      <c r="A3805" s="2" t="s">
        <v>2118</v>
      </c>
      <c r="B3805" s="2">
        <v>306</v>
      </c>
      <c r="C3805" s="2" t="s">
        <v>2119</v>
      </c>
      <c r="D3805" s="2" t="s">
        <v>2117</v>
      </c>
      <c r="E3805" s="2" t="s">
        <v>97</v>
      </c>
      <c r="F3805" s="3">
        <v>42157</v>
      </c>
      <c r="G3805" s="2" t="str">
        <f>"9780231539463"</f>
        <v>9780231539463</v>
      </c>
      <c r="H3805" s="2" t="s">
        <v>14</v>
      </c>
      <c r="I3805" s="4">
        <v>43912.663888888892</v>
      </c>
      <c r="J3805" s="2" t="s">
        <v>2120</v>
      </c>
    </row>
    <row r="3806" spans="1:10" ht="150" x14ac:dyDescent="0.25">
      <c r="A3806" s="2" t="s">
        <v>2118</v>
      </c>
      <c r="B3806" s="2">
        <v>304.84061000000003</v>
      </c>
      <c r="C3806" s="2" t="s">
        <v>3171</v>
      </c>
      <c r="D3806" s="2" t="s">
        <v>3170</v>
      </c>
      <c r="E3806" s="2" t="s">
        <v>69</v>
      </c>
      <c r="F3806" s="3">
        <v>42541</v>
      </c>
      <c r="G3806" s="2" t="str">
        <f>"9780253020789"</f>
        <v>9780253020789</v>
      </c>
      <c r="H3806" s="2" t="s">
        <v>14</v>
      </c>
      <c r="I3806" s="4">
        <v>43802.517361111109</v>
      </c>
      <c r="J3806" s="2" t="s">
        <v>3172</v>
      </c>
    </row>
    <row r="3807" spans="1:10" ht="135" x14ac:dyDescent="0.25">
      <c r="A3807" s="2" t="s">
        <v>2118</v>
      </c>
      <c r="B3807" s="2" t="s">
        <v>7426</v>
      </c>
      <c r="C3807" s="2" t="s">
        <v>7427</v>
      </c>
      <c r="D3807" s="2" t="s">
        <v>7425</v>
      </c>
      <c r="E3807" s="2" t="s">
        <v>69</v>
      </c>
      <c r="F3807" s="3">
        <v>41766</v>
      </c>
      <c r="G3807" s="2" t="str">
        <f>"9780253012081"</f>
        <v>9780253012081</v>
      </c>
      <c r="H3807" s="2" t="s">
        <v>14</v>
      </c>
      <c r="I3807" s="4">
        <v>43417.07708333333</v>
      </c>
      <c r="J3807" s="2" t="s">
        <v>7428</v>
      </c>
    </row>
    <row r="3808" spans="1:10" ht="135" x14ac:dyDescent="0.25">
      <c r="A3808" s="2" t="s">
        <v>2118</v>
      </c>
      <c r="B3808" s="2" t="s">
        <v>10525</v>
      </c>
      <c r="C3808" s="2" t="s">
        <v>10526</v>
      </c>
      <c r="D3808" s="2" t="s">
        <v>10524</v>
      </c>
      <c r="E3808" s="2" t="s">
        <v>136</v>
      </c>
      <c r="F3808" s="3">
        <v>42522</v>
      </c>
      <c r="G3808" s="2" t="str">
        <f>"9781609384265"</f>
        <v>9781609384265</v>
      </c>
      <c r="H3808" s="2" t="s">
        <v>14</v>
      </c>
      <c r="I3808" s="4">
        <v>43051.931944444441</v>
      </c>
      <c r="J3808" s="2" t="s">
        <v>10527</v>
      </c>
    </row>
    <row r="3809" spans="1:10" ht="135" x14ac:dyDescent="0.25">
      <c r="A3809" s="2" t="s">
        <v>2118</v>
      </c>
      <c r="B3809" s="2" t="s">
        <v>3113</v>
      </c>
      <c r="C3809" s="2" t="s">
        <v>3114</v>
      </c>
      <c r="D3809" s="2" t="s">
        <v>3112</v>
      </c>
      <c r="E3809" s="2" t="s">
        <v>73</v>
      </c>
      <c r="F3809" s="3">
        <v>41003</v>
      </c>
      <c r="G3809" s="2" t="str">
        <f>"9780816679515"</f>
        <v>9780816679515</v>
      </c>
      <c r="H3809" s="2" t="s">
        <v>14</v>
      </c>
      <c r="I3809" s="4">
        <v>43810.45416666667</v>
      </c>
      <c r="J3809" s="2" t="s">
        <v>3115</v>
      </c>
    </row>
    <row r="3810" spans="1:10" ht="135" x14ac:dyDescent="0.25">
      <c r="A3810" s="2" t="s">
        <v>2118</v>
      </c>
      <c r="B3810" s="2">
        <v>791.43652999999995</v>
      </c>
      <c r="C3810" s="2" t="s">
        <v>1082</v>
      </c>
      <c r="D3810" s="2" t="s">
        <v>3340</v>
      </c>
      <c r="E3810" s="2" t="s">
        <v>37</v>
      </c>
      <c r="F3810" s="3">
        <v>42915</v>
      </c>
      <c r="G3810" s="2" t="str">
        <f>"9783319410241"</f>
        <v>9783319410241</v>
      </c>
      <c r="H3810" s="2" t="s">
        <v>14</v>
      </c>
      <c r="I3810" s="4">
        <v>43789.079861111109</v>
      </c>
      <c r="J3810" s="2" t="s">
        <v>3341</v>
      </c>
    </row>
    <row r="3811" spans="1:10" ht="135" x14ac:dyDescent="0.25">
      <c r="A3811" s="2" t="s">
        <v>2118</v>
      </c>
      <c r="B3811" s="2">
        <v>791.43609417000005</v>
      </c>
      <c r="C3811" s="2" t="s">
        <v>1082</v>
      </c>
      <c r="D3811" s="2" t="s">
        <v>8564</v>
      </c>
      <c r="E3811" s="2" t="s">
        <v>37</v>
      </c>
      <c r="F3811" s="3">
        <v>42719</v>
      </c>
      <c r="G3811" s="2" t="str">
        <f>"9783319409283"</f>
        <v>9783319409283</v>
      </c>
      <c r="H3811" s="2" t="s">
        <v>14</v>
      </c>
      <c r="I3811" s="4">
        <v>43287.785416666666</v>
      </c>
      <c r="J3811" s="2" t="s">
        <v>8565</v>
      </c>
    </row>
    <row r="3812" spans="1:10" ht="135" x14ac:dyDescent="0.25">
      <c r="A3812" s="2" t="s">
        <v>2118</v>
      </c>
      <c r="B3812" s="2">
        <v>780.92</v>
      </c>
      <c r="C3812" s="2" t="s">
        <v>10564</v>
      </c>
      <c r="D3812" s="2" t="s">
        <v>10563</v>
      </c>
      <c r="E3812" s="2" t="s">
        <v>1869</v>
      </c>
      <c r="F3812" s="3">
        <v>41810</v>
      </c>
      <c r="G3812" s="2" t="str">
        <f>"9781442232914"</f>
        <v>9781442232914</v>
      </c>
      <c r="H3812" s="2" t="s">
        <v>14</v>
      </c>
      <c r="I3812" s="4">
        <v>43049.743750000001</v>
      </c>
      <c r="J3812" s="2" t="s">
        <v>10565</v>
      </c>
    </row>
    <row r="3813" spans="1:10" ht="135" x14ac:dyDescent="0.25">
      <c r="A3813" s="2" t="s">
        <v>2118</v>
      </c>
      <c r="B3813" s="2">
        <v>792.09045000000003</v>
      </c>
      <c r="C3813" s="2" t="s">
        <v>1082</v>
      </c>
      <c r="D3813" s="2" t="s">
        <v>8184</v>
      </c>
      <c r="E3813" s="2" t="s">
        <v>37</v>
      </c>
      <c r="F3813" s="3">
        <v>42899</v>
      </c>
      <c r="G3813" s="2" t="str">
        <f>"9783319480848"</f>
        <v>9783319480848</v>
      </c>
      <c r="H3813" s="2" t="s">
        <v>14</v>
      </c>
      <c r="I3813" s="4">
        <v>43343.441666666666</v>
      </c>
      <c r="J3813" s="2" t="s">
        <v>8185</v>
      </c>
    </row>
    <row r="3814" spans="1:10" ht="135" x14ac:dyDescent="0.25">
      <c r="A3814" s="2" t="s">
        <v>1707</v>
      </c>
      <c r="B3814" s="2" t="s">
        <v>9684</v>
      </c>
      <c r="C3814" s="2" t="s">
        <v>9685</v>
      </c>
      <c r="D3814" s="2" t="s">
        <v>9683</v>
      </c>
      <c r="E3814" s="2" t="s">
        <v>1550</v>
      </c>
      <c r="F3814" s="3">
        <v>42094</v>
      </c>
      <c r="G3814" s="2" t="str">
        <f>"9781629580135"</f>
        <v>9781629580135</v>
      </c>
      <c r="H3814" s="2" t="s">
        <v>14</v>
      </c>
      <c r="I3814" s="4">
        <v>43138.005555555559</v>
      </c>
      <c r="J3814" s="2" t="s">
        <v>9686</v>
      </c>
    </row>
    <row r="3815" spans="1:10" ht="135" x14ac:dyDescent="0.25">
      <c r="A3815" s="2" t="s">
        <v>1707</v>
      </c>
      <c r="B3815" s="2">
        <v>1.0900000000000001</v>
      </c>
      <c r="C3815" s="2" t="s">
        <v>4047</v>
      </c>
      <c r="D3815" s="2" t="s">
        <v>4046</v>
      </c>
      <c r="E3815" s="2" t="s">
        <v>397</v>
      </c>
      <c r="F3815" s="3">
        <v>43571</v>
      </c>
      <c r="G3815" s="2" t="str">
        <f>"9780822986706"</f>
        <v>9780822986706</v>
      </c>
      <c r="H3815" s="2" t="s">
        <v>14</v>
      </c>
      <c r="I3815" s="4">
        <v>43720.647916666669</v>
      </c>
      <c r="J3815" s="2" t="s">
        <v>4048</v>
      </c>
    </row>
    <row r="3816" spans="1:10" ht="150" x14ac:dyDescent="0.25">
      <c r="A3816" s="2" t="s">
        <v>1707</v>
      </c>
      <c r="B3816" s="2" t="s">
        <v>1708</v>
      </c>
      <c r="C3816" s="2" t="s">
        <v>1709</v>
      </c>
      <c r="D3816" s="2" t="s">
        <v>1705</v>
      </c>
      <c r="E3816" s="2" t="s">
        <v>1706</v>
      </c>
      <c r="F3816" s="3">
        <v>41319</v>
      </c>
      <c r="G3816" s="2" t="str">
        <f>"9781462506910"</f>
        <v>9781462506910</v>
      </c>
      <c r="H3816" s="2" t="s">
        <v>14</v>
      </c>
      <c r="I3816" s="4">
        <v>43930.881944444445</v>
      </c>
      <c r="J3816" s="2" t="s">
        <v>1710</v>
      </c>
    </row>
    <row r="3817" spans="1:10" ht="135" x14ac:dyDescent="0.25">
      <c r="A3817" s="2" t="s">
        <v>1899</v>
      </c>
      <c r="B3817" s="2">
        <v>307.34160000000003</v>
      </c>
      <c r="C3817" s="2" t="s">
        <v>1784</v>
      </c>
      <c r="D3817" s="2" t="s">
        <v>1898</v>
      </c>
      <c r="E3817" s="2" t="s">
        <v>37</v>
      </c>
      <c r="F3817" s="3">
        <v>43235</v>
      </c>
      <c r="G3817" s="2" t="str">
        <f>"9783319723112"</f>
        <v>9783319723112</v>
      </c>
      <c r="H3817" s="2" t="s">
        <v>14</v>
      </c>
      <c r="I3817" s="4">
        <v>43922.633333333331</v>
      </c>
      <c r="J3817" s="2" t="s">
        <v>1900</v>
      </c>
    </row>
    <row r="3818" spans="1:10" ht="135" x14ac:dyDescent="0.25">
      <c r="A3818" s="2" t="s">
        <v>461</v>
      </c>
      <c r="B3818" s="2" t="s">
        <v>462</v>
      </c>
      <c r="C3818" s="2" t="s">
        <v>463</v>
      </c>
      <c r="D3818" s="2" t="s">
        <v>459</v>
      </c>
      <c r="E3818" s="2" t="s">
        <v>460</v>
      </c>
      <c r="F3818" s="3">
        <v>42041</v>
      </c>
      <c r="G3818" s="2" t="str">
        <f>"9780773596412"</f>
        <v>9780773596412</v>
      </c>
      <c r="H3818" s="2" t="s">
        <v>14</v>
      </c>
      <c r="I3818" s="4">
        <v>44021.681250000001</v>
      </c>
      <c r="J3818" s="2" t="s">
        <v>464</v>
      </c>
    </row>
    <row r="3819" spans="1:10" ht="135" x14ac:dyDescent="0.25">
      <c r="A3819" s="2" t="s">
        <v>461</v>
      </c>
      <c r="B3819" s="2">
        <v>362.1</v>
      </c>
      <c r="C3819" s="2" t="s">
        <v>6378</v>
      </c>
      <c r="D3819" s="2" t="s">
        <v>6377</v>
      </c>
      <c r="E3819" s="2" t="s">
        <v>622</v>
      </c>
      <c r="F3819" s="3">
        <v>42332</v>
      </c>
      <c r="G3819" s="2" t="str">
        <f>"9780826273482"</f>
        <v>9780826273482</v>
      </c>
      <c r="H3819" s="2" t="s">
        <v>14</v>
      </c>
      <c r="I3819" s="4">
        <v>43521.640972222223</v>
      </c>
      <c r="J3819" s="2" t="s">
        <v>6379</v>
      </c>
    </row>
    <row r="3820" spans="1:10" ht="135" x14ac:dyDescent="0.25">
      <c r="A3820" s="2" t="s">
        <v>461</v>
      </c>
      <c r="B3820" s="2" t="s">
        <v>7910</v>
      </c>
      <c r="C3820" s="2" t="s">
        <v>7911</v>
      </c>
      <c r="D3820" s="2" t="s">
        <v>7909</v>
      </c>
      <c r="E3820" s="2" t="s">
        <v>2560</v>
      </c>
      <c r="F3820" s="3">
        <v>42356</v>
      </c>
      <c r="G3820" s="2" t="str">
        <f>"9780826520814"</f>
        <v>9780826520814</v>
      </c>
      <c r="H3820" s="2" t="s">
        <v>14</v>
      </c>
      <c r="I3820" s="4">
        <v>43377.375694444447</v>
      </c>
      <c r="J3820" s="2" t="s">
        <v>7912</v>
      </c>
    </row>
    <row r="3821" spans="1:10" ht="150" x14ac:dyDescent="0.25">
      <c r="A3821" s="2" t="s">
        <v>8386</v>
      </c>
      <c r="B3821" s="2">
        <v>362</v>
      </c>
      <c r="C3821" s="2" t="s">
        <v>619</v>
      </c>
      <c r="D3821" s="2" t="s">
        <v>8385</v>
      </c>
      <c r="E3821" s="2" t="s">
        <v>37</v>
      </c>
      <c r="F3821" s="3">
        <v>42912</v>
      </c>
      <c r="G3821" s="2" t="str">
        <f>"9783319495354"</f>
        <v>9783319495354</v>
      </c>
      <c r="H3821" s="2" t="s">
        <v>14</v>
      </c>
      <c r="I3821" s="4">
        <v>43314.305555555555</v>
      </c>
      <c r="J3821" s="2" t="s">
        <v>8387</v>
      </c>
    </row>
    <row r="3822" spans="1:10" ht="135" x14ac:dyDescent="0.25">
      <c r="A3822" s="2" t="s">
        <v>1086</v>
      </c>
      <c r="B3822" s="2">
        <v>174.29284000000001</v>
      </c>
      <c r="C3822" s="2" t="s">
        <v>1087</v>
      </c>
      <c r="D3822" s="2" t="s">
        <v>1084</v>
      </c>
      <c r="E3822" s="2" t="s">
        <v>1085</v>
      </c>
      <c r="F3822" s="3">
        <v>43322</v>
      </c>
      <c r="G3822" s="2" t="str">
        <f>"9780128137659"</f>
        <v>9780128137659</v>
      </c>
      <c r="H3822" s="2" t="s">
        <v>14</v>
      </c>
      <c r="I3822" s="4">
        <v>43964.76666666667</v>
      </c>
      <c r="J3822" s="2" t="s">
        <v>1088</v>
      </c>
    </row>
    <row r="3823" spans="1:10" ht="135" x14ac:dyDescent="0.25">
      <c r="A3823" s="2" t="s">
        <v>196</v>
      </c>
      <c r="B3823" s="2">
        <v>306.85097300000001</v>
      </c>
      <c r="C3823" s="2" t="s">
        <v>10512</v>
      </c>
      <c r="D3823" s="2" t="s">
        <v>10511</v>
      </c>
      <c r="E3823" s="2" t="s">
        <v>268</v>
      </c>
      <c r="F3823" s="3">
        <v>42304</v>
      </c>
      <c r="G3823" s="2" t="str">
        <f>"9780815727101"</f>
        <v>9780815727101</v>
      </c>
      <c r="H3823" s="2" t="s">
        <v>14</v>
      </c>
      <c r="I3823" s="4">
        <v>43053.013888888891</v>
      </c>
      <c r="J3823" s="2" t="s">
        <v>10513</v>
      </c>
    </row>
    <row r="3824" spans="1:10" ht="135" x14ac:dyDescent="0.25">
      <c r="A3824" s="2" t="s">
        <v>196</v>
      </c>
      <c r="B3824" s="2">
        <v>305.80097290999998</v>
      </c>
      <c r="C3824" s="2" t="s">
        <v>10841</v>
      </c>
      <c r="D3824" s="2" t="s">
        <v>10840</v>
      </c>
      <c r="E3824" s="2" t="s">
        <v>156</v>
      </c>
      <c r="F3824" s="3">
        <v>42485</v>
      </c>
      <c r="G3824" s="2" t="str">
        <f>"9781469626741"</f>
        <v>9781469626741</v>
      </c>
      <c r="H3824" s="2" t="s">
        <v>14</v>
      </c>
      <c r="I3824" s="4">
        <v>43032.540972222225</v>
      </c>
      <c r="J3824" s="2" t="s">
        <v>10842</v>
      </c>
    </row>
    <row r="3825" spans="1:10" ht="135" x14ac:dyDescent="0.25">
      <c r="A3825" s="2" t="s">
        <v>196</v>
      </c>
      <c r="B3825" s="2">
        <v>930.101</v>
      </c>
      <c r="C3825" s="2" t="s">
        <v>538</v>
      </c>
      <c r="D3825" s="2" t="s">
        <v>537</v>
      </c>
      <c r="E3825" s="2" t="s">
        <v>130</v>
      </c>
      <c r="F3825" s="3">
        <v>43571</v>
      </c>
      <c r="G3825" s="2" t="str">
        <f>"9780813057057"</f>
        <v>9780813057057</v>
      </c>
      <c r="H3825" s="2" t="s">
        <v>14</v>
      </c>
      <c r="I3825" s="4">
        <v>44015.59097222222</v>
      </c>
      <c r="J3825" s="2" t="s">
        <v>539</v>
      </c>
    </row>
    <row r="3826" spans="1:10" ht="135" x14ac:dyDescent="0.25">
      <c r="A3826" s="2" t="s">
        <v>196</v>
      </c>
      <c r="B3826" s="2">
        <v>305.80097298099997</v>
      </c>
      <c r="C3826" s="2" t="s">
        <v>647</v>
      </c>
      <c r="D3826" s="2" t="s">
        <v>646</v>
      </c>
      <c r="E3826" s="2" t="s">
        <v>41</v>
      </c>
      <c r="F3826" s="3">
        <v>43711</v>
      </c>
      <c r="G3826" s="2" t="str">
        <f>"9780817392420"</f>
        <v>9780817392420</v>
      </c>
      <c r="H3826" s="2" t="s">
        <v>14</v>
      </c>
      <c r="I3826" s="4">
        <v>44004.606944444444</v>
      </c>
      <c r="J3826" s="2" t="s">
        <v>648</v>
      </c>
    </row>
    <row r="3827" spans="1:10" ht="135" x14ac:dyDescent="0.25">
      <c r="A3827" s="2" t="s">
        <v>196</v>
      </c>
      <c r="B3827" s="2" t="s">
        <v>5344</v>
      </c>
      <c r="C3827" s="2" t="s">
        <v>5345</v>
      </c>
      <c r="D3827" s="2" t="s">
        <v>5343</v>
      </c>
      <c r="E3827" s="2" t="s">
        <v>69</v>
      </c>
      <c r="F3827" s="3">
        <v>42933</v>
      </c>
      <c r="G3827" s="2" t="str">
        <f>"9780253026729"</f>
        <v>9780253026729</v>
      </c>
      <c r="H3827" s="2" t="s">
        <v>14</v>
      </c>
      <c r="I3827" s="4">
        <v>43604.5625</v>
      </c>
      <c r="J3827" s="2" t="s">
        <v>5346</v>
      </c>
    </row>
    <row r="3828" spans="1:10" ht="135" x14ac:dyDescent="0.25">
      <c r="A3828" s="2" t="s">
        <v>196</v>
      </c>
      <c r="B3828" s="2">
        <v>305.89509399999997</v>
      </c>
      <c r="C3828" s="2" t="s">
        <v>9060</v>
      </c>
      <c r="D3828" s="2" t="s">
        <v>9058</v>
      </c>
      <c r="E3828" s="2" t="s">
        <v>9059</v>
      </c>
      <c r="F3828" s="3">
        <v>41226</v>
      </c>
      <c r="G3828" s="2" t="str">
        <f>"9781742584744"</f>
        <v>9781742584744</v>
      </c>
      <c r="H3828" s="2" t="s">
        <v>14</v>
      </c>
      <c r="I3828" s="4">
        <v>43220.773611111108</v>
      </c>
      <c r="J3828" s="2" t="s">
        <v>9061</v>
      </c>
    </row>
    <row r="3829" spans="1:10" ht="135" x14ac:dyDescent="0.25">
      <c r="A3829" s="2" t="s">
        <v>196</v>
      </c>
      <c r="B3829" s="2">
        <v>305.89922000000001</v>
      </c>
      <c r="C3829" s="2" t="s">
        <v>12279</v>
      </c>
      <c r="D3829" s="2" t="s">
        <v>12278</v>
      </c>
      <c r="E3829" s="2" t="s">
        <v>89</v>
      </c>
      <c r="F3829" s="3">
        <v>42491</v>
      </c>
      <c r="G3829" s="2" t="str">
        <f>"9781785331602"</f>
        <v>9781785331602</v>
      </c>
      <c r="H3829" s="2" t="s">
        <v>14</v>
      </c>
      <c r="I3829" s="4">
        <v>42820.936111111114</v>
      </c>
      <c r="J3829" s="2" t="s">
        <v>12280</v>
      </c>
    </row>
    <row r="3830" spans="1:10" ht="135" x14ac:dyDescent="0.25">
      <c r="A3830" s="2" t="s">
        <v>196</v>
      </c>
      <c r="B3830" s="2" t="s">
        <v>4864</v>
      </c>
      <c r="C3830" s="2" t="s">
        <v>4865</v>
      </c>
      <c r="D3830" s="2" t="s">
        <v>4863</v>
      </c>
      <c r="E3830" s="2" t="s">
        <v>856</v>
      </c>
      <c r="F3830" s="3">
        <v>39387</v>
      </c>
      <c r="G3830" s="2" t="str">
        <f>"9780295800400"</f>
        <v>9780295800400</v>
      </c>
      <c r="H3830" s="2" t="s">
        <v>14</v>
      </c>
      <c r="I3830" s="4">
        <v>43620.493055555555</v>
      </c>
      <c r="J3830" s="2" t="s">
        <v>4866</v>
      </c>
    </row>
    <row r="3831" spans="1:10" ht="135" x14ac:dyDescent="0.25">
      <c r="A3831" s="2" t="s">
        <v>196</v>
      </c>
      <c r="B3831" s="2">
        <v>305.800972</v>
      </c>
      <c r="C3831" s="2" t="s">
        <v>6219</v>
      </c>
      <c r="D3831" s="2" t="s">
        <v>6588</v>
      </c>
      <c r="E3831" s="2" t="s">
        <v>195</v>
      </c>
      <c r="F3831" s="3">
        <v>43207</v>
      </c>
      <c r="G3831" s="2" t="str">
        <f>"9780816538188"</f>
        <v>9780816538188</v>
      </c>
      <c r="H3831" s="2" t="s">
        <v>14</v>
      </c>
      <c r="I3831" s="4">
        <v>43506.580555555556</v>
      </c>
      <c r="J3831" s="2" t="s">
        <v>6589</v>
      </c>
    </row>
    <row r="3832" spans="1:10" ht="135" x14ac:dyDescent="0.25">
      <c r="A3832" s="2" t="s">
        <v>196</v>
      </c>
      <c r="B3832" s="2">
        <v>305.48896072999997</v>
      </c>
      <c r="C3832" s="2" t="s">
        <v>1369</v>
      </c>
      <c r="D3832" s="2" t="s">
        <v>6701</v>
      </c>
      <c r="E3832" s="2" t="s">
        <v>578</v>
      </c>
      <c r="F3832" s="3">
        <v>42858</v>
      </c>
      <c r="G3832" s="2" t="str">
        <f>"9780252099540"</f>
        <v>9780252099540</v>
      </c>
      <c r="H3832" s="2" t="s">
        <v>14</v>
      </c>
      <c r="I3832" s="4">
        <v>43495.681944444441</v>
      </c>
      <c r="J3832" s="2" t="s">
        <v>6702</v>
      </c>
    </row>
    <row r="3833" spans="1:10" ht="135" x14ac:dyDescent="0.25">
      <c r="A3833" s="2" t="s">
        <v>196</v>
      </c>
      <c r="B3833" s="2">
        <v>305.896073</v>
      </c>
      <c r="C3833" s="2" t="s">
        <v>2748</v>
      </c>
      <c r="D3833" s="2" t="s">
        <v>2746</v>
      </c>
      <c r="E3833" s="2" t="s">
        <v>2747</v>
      </c>
      <c r="F3833" s="3">
        <v>42286</v>
      </c>
      <c r="G3833" s="2" t="str">
        <f>"9781453916384"</f>
        <v>9781453916384</v>
      </c>
      <c r="H3833" s="2" t="s">
        <v>14</v>
      </c>
      <c r="I3833" s="4">
        <v>43859.646527777775</v>
      </c>
      <c r="J3833" s="2" t="s">
        <v>2749</v>
      </c>
    </row>
    <row r="3834" spans="1:10" ht="135" x14ac:dyDescent="0.25">
      <c r="A3834" s="2" t="s">
        <v>196</v>
      </c>
      <c r="B3834" s="2" t="s">
        <v>4917</v>
      </c>
      <c r="C3834" s="2" t="s">
        <v>4918</v>
      </c>
      <c r="D3834" s="2" t="s">
        <v>4916</v>
      </c>
      <c r="E3834" s="2" t="s">
        <v>156</v>
      </c>
      <c r="F3834" s="3">
        <v>43584</v>
      </c>
      <c r="G3834" s="2" t="str">
        <f>"9781469651521"</f>
        <v>9781469651521</v>
      </c>
      <c r="H3834" s="2" t="s">
        <v>14</v>
      </c>
      <c r="I3834" s="4">
        <v>43618.55972222222</v>
      </c>
      <c r="J3834" s="2" t="s">
        <v>4919</v>
      </c>
    </row>
    <row r="3835" spans="1:10" ht="135" x14ac:dyDescent="0.25">
      <c r="A3835" s="2" t="s">
        <v>196</v>
      </c>
      <c r="B3835" s="2" t="s">
        <v>4661</v>
      </c>
      <c r="C3835" s="2" t="s">
        <v>4662</v>
      </c>
      <c r="D3835" s="2" t="s">
        <v>4659</v>
      </c>
      <c r="E3835" s="2" t="s">
        <v>4660</v>
      </c>
      <c r="F3835" s="3">
        <v>34639</v>
      </c>
      <c r="G3835" s="2" t="str">
        <f>"9780813148311"</f>
        <v>9780813148311</v>
      </c>
      <c r="H3835" s="2" t="s">
        <v>14</v>
      </c>
      <c r="I3835" s="4">
        <v>43640.399305555555</v>
      </c>
      <c r="J3835" s="2" t="s">
        <v>4663</v>
      </c>
    </row>
    <row r="3836" spans="1:10" ht="135" x14ac:dyDescent="0.25">
      <c r="A3836" s="2" t="s">
        <v>196</v>
      </c>
      <c r="B3836" s="2">
        <v>306.2097309033</v>
      </c>
      <c r="C3836" s="2" t="s">
        <v>9699</v>
      </c>
      <c r="D3836" s="2" t="s">
        <v>9698</v>
      </c>
      <c r="E3836" s="2" t="s">
        <v>674</v>
      </c>
      <c r="F3836" s="3">
        <v>42353</v>
      </c>
      <c r="G3836" s="2" t="str">
        <f>"9780823268429"</f>
        <v>9780823268429</v>
      </c>
      <c r="H3836" s="2" t="s">
        <v>14</v>
      </c>
      <c r="I3836" s="4">
        <v>43136.405555555553</v>
      </c>
      <c r="J3836" s="2" t="s">
        <v>9700</v>
      </c>
    </row>
    <row r="3837" spans="1:10" ht="135" x14ac:dyDescent="0.25">
      <c r="A3837" s="2" t="s">
        <v>196</v>
      </c>
      <c r="B3837" s="2" t="s">
        <v>1516</v>
      </c>
      <c r="C3837" s="2" t="s">
        <v>336</v>
      </c>
      <c r="D3837" s="2" t="s">
        <v>1515</v>
      </c>
      <c r="E3837" s="2" t="s">
        <v>195</v>
      </c>
      <c r="F3837" s="3">
        <v>43571</v>
      </c>
      <c r="G3837" s="2" t="str">
        <f>"9780816539802"</f>
        <v>9780816539802</v>
      </c>
      <c r="H3837" s="2" t="s">
        <v>14</v>
      </c>
      <c r="I3837" s="4">
        <v>43940.240277777775</v>
      </c>
      <c r="J3837" s="2" t="s">
        <v>1517</v>
      </c>
    </row>
    <row r="3838" spans="1:10" ht="135" x14ac:dyDescent="0.25">
      <c r="A3838" s="2" t="s">
        <v>196</v>
      </c>
      <c r="B3838" s="2">
        <v>305.800973</v>
      </c>
      <c r="C3838" s="2" t="s">
        <v>336</v>
      </c>
      <c r="D3838" s="2" t="s">
        <v>9196</v>
      </c>
      <c r="E3838" s="2" t="s">
        <v>578</v>
      </c>
      <c r="F3838" s="3">
        <v>42621</v>
      </c>
      <c r="G3838" s="2" t="str">
        <f>"9780252098819"</f>
        <v>9780252098819</v>
      </c>
      <c r="H3838" s="2" t="s">
        <v>14</v>
      </c>
      <c r="I3838" s="4">
        <v>43201.461111111108</v>
      </c>
      <c r="J3838" s="2" t="s">
        <v>9197</v>
      </c>
    </row>
    <row r="3839" spans="1:10" ht="195" x14ac:dyDescent="0.25">
      <c r="A3839" s="2" t="s">
        <v>196</v>
      </c>
      <c r="B3839" s="2">
        <v>305.80097499999999</v>
      </c>
      <c r="C3839" s="2" t="s">
        <v>11921</v>
      </c>
      <c r="D3839" s="2" t="s">
        <v>11920</v>
      </c>
      <c r="E3839" s="2" t="s">
        <v>156</v>
      </c>
      <c r="F3839" s="3">
        <v>41671</v>
      </c>
      <c r="G3839" s="2" t="str">
        <f>"9781469602547"</f>
        <v>9781469602547</v>
      </c>
      <c r="H3839" s="2" t="s">
        <v>14</v>
      </c>
      <c r="I3839" s="4">
        <v>42872.447916666664</v>
      </c>
      <c r="J3839" s="2" t="s">
        <v>11922</v>
      </c>
    </row>
    <row r="3840" spans="1:10" ht="150" x14ac:dyDescent="0.25">
      <c r="A3840" s="2" t="s">
        <v>196</v>
      </c>
      <c r="B3840" s="2">
        <v>305.80097309033999</v>
      </c>
      <c r="C3840" s="2" t="s">
        <v>13019</v>
      </c>
      <c r="D3840" s="2" t="s">
        <v>13018</v>
      </c>
      <c r="E3840" s="2" t="s">
        <v>322</v>
      </c>
      <c r="F3840" s="3">
        <v>42583</v>
      </c>
      <c r="G3840" s="2" t="str">
        <f>"9780820349640"</f>
        <v>9780820349640</v>
      </c>
      <c r="H3840" s="2" t="s">
        <v>14</v>
      </c>
      <c r="I3840" s="4">
        <v>42746.084027777775</v>
      </c>
      <c r="J3840" s="2" t="s">
        <v>13020</v>
      </c>
    </row>
    <row r="3841" spans="1:10" ht="135" x14ac:dyDescent="0.25">
      <c r="A3841" s="2" t="s">
        <v>196</v>
      </c>
      <c r="B3841" s="2" t="s">
        <v>7817</v>
      </c>
      <c r="C3841" s="2" t="s">
        <v>7818</v>
      </c>
      <c r="D3841" s="2" t="s">
        <v>7816</v>
      </c>
      <c r="E3841" s="2" t="s">
        <v>460</v>
      </c>
      <c r="F3841" s="3">
        <v>43067</v>
      </c>
      <c r="G3841" s="2" t="str">
        <f>"9780773552463"</f>
        <v>9780773552463</v>
      </c>
      <c r="H3841" s="2" t="s">
        <v>14</v>
      </c>
      <c r="I3841" s="4">
        <v>43387.65</v>
      </c>
      <c r="J3841" s="2" t="s">
        <v>7819</v>
      </c>
    </row>
    <row r="3842" spans="1:10" ht="135" x14ac:dyDescent="0.25">
      <c r="A3842" s="2" t="s">
        <v>196</v>
      </c>
      <c r="B3842" s="2" t="s">
        <v>12588</v>
      </c>
      <c r="C3842" s="2" t="s">
        <v>12589</v>
      </c>
      <c r="D3842" s="2" t="s">
        <v>12587</v>
      </c>
      <c r="E3842" s="2" t="s">
        <v>856</v>
      </c>
      <c r="F3842" s="3">
        <v>42163</v>
      </c>
      <c r="G3842" s="2" t="str">
        <f>"9780295805962"</f>
        <v>9780295805962</v>
      </c>
      <c r="H3842" s="2" t="s">
        <v>14</v>
      </c>
      <c r="I3842" s="4">
        <v>42792.662499999999</v>
      </c>
      <c r="J3842" s="2" t="s">
        <v>12590</v>
      </c>
    </row>
    <row r="3843" spans="1:10" ht="135" x14ac:dyDescent="0.25">
      <c r="A3843" s="2" t="s">
        <v>196</v>
      </c>
      <c r="B3843" s="2" t="s">
        <v>6362</v>
      </c>
      <c r="C3843" s="2" t="s">
        <v>1369</v>
      </c>
      <c r="D3843" s="2" t="s">
        <v>6361</v>
      </c>
      <c r="E3843" s="2" t="s">
        <v>578</v>
      </c>
      <c r="F3843" s="3">
        <v>42223</v>
      </c>
      <c r="G3843" s="2" t="str">
        <f>"9780252097683"</f>
        <v>9780252097683</v>
      </c>
      <c r="H3843" s="2" t="s">
        <v>14</v>
      </c>
      <c r="I3843" s="4">
        <v>43522.578472222223</v>
      </c>
      <c r="J3843" s="2" t="s">
        <v>6363</v>
      </c>
    </row>
    <row r="3844" spans="1:10" ht="135" x14ac:dyDescent="0.25">
      <c r="A3844" s="2" t="s">
        <v>196</v>
      </c>
      <c r="B3844" s="2">
        <v>305.800973</v>
      </c>
      <c r="C3844" s="2" t="s">
        <v>9721</v>
      </c>
      <c r="D3844" s="2" t="s">
        <v>9720</v>
      </c>
      <c r="E3844" s="2" t="s">
        <v>216</v>
      </c>
      <c r="F3844" s="3">
        <v>41791</v>
      </c>
      <c r="G3844" s="2" t="str">
        <f>"9781438451701"</f>
        <v>9781438451701</v>
      </c>
      <c r="H3844" s="2" t="s">
        <v>14</v>
      </c>
      <c r="I3844" s="4">
        <v>43133.681944444441</v>
      </c>
      <c r="J3844" s="2" t="s">
        <v>9722</v>
      </c>
    </row>
    <row r="3845" spans="1:10" ht="135" x14ac:dyDescent="0.25">
      <c r="A3845" s="2" t="s">
        <v>196</v>
      </c>
      <c r="B3845" s="2">
        <v>306.81094109034001</v>
      </c>
      <c r="C3845" s="2" t="s">
        <v>20</v>
      </c>
      <c r="D3845" s="2" t="s">
        <v>8064</v>
      </c>
      <c r="E3845" s="2" t="s">
        <v>37</v>
      </c>
      <c r="F3845" s="3">
        <v>43035</v>
      </c>
      <c r="G3845" s="2" t="str">
        <f>"9783319603902"</f>
        <v>9783319603902</v>
      </c>
      <c r="H3845" s="2" t="s">
        <v>14</v>
      </c>
      <c r="I3845" s="4">
        <v>43358.477083333331</v>
      </c>
      <c r="J3845" s="2" t="s">
        <v>8065</v>
      </c>
    </row>
    <row r="3846" spans="1:10" ht="135" x14ac:dyDescent="0.25">
      <c r="A3846" s="2" t="s">
        <v>196</v>
      </c>
      <c r="B3846" s="2">
        <v>305.89592206999998</v>
      </c>
      <c r="C3846" s="2" t="s">
        <v>336</v>
      </c>
      <c r="D3846" s="2" t="s">
        <v>3386</v>
      </c>
      <c r="E3846" s="2" t="s">
        <v>54</v>
      </c>
      <c r="F3846" s="3">
        <v>41738</v>
      </c>
      <c r="G3846" s="2" t="str">
        <f>"9780804790567"</f>
        <v>9780804790567</v>
      </c>
      <c r="H3846" s="2" t="s">
        <v>14</v>
      </c>
      <c r="I3846" s="4">
        <v>43786.249305555553</v>
      </c>
      <c r="J3846" s="2" t="s">
        <v>3387</v>
      </c>
    </row>
    <row r="3847" spans="1:10" ht="150" x14ac:dyDescent="0.25">
      <c r="A3847" s="2" t="s">
        <v>196</v>
      </c>
      <c r="B3847" s="2">
        <v>305.80098609999999</v>
      </c>
      <c r="C3847" s="2" t="s">
        <v>197</v>
      </c>
      <c r="D3847" s="2" t="s">
        <v>194</v>
      </c>
      <c r="E3847" s="2" t="s">
        <v>195</v>
      </c>
      <c r="F3847" s="3">
        <v>43186</v>
      </c>
      <c r="G3847" s="2" t="str">
        <f>"9780816538386"</f>
        <v>9780816538386</v>
      </c>
      <c r="H3847" s="2" t="s">
        <v>14</v>
      </c>
      <c r="I3847" s="4">
        <v>44061.529861111114</v>
      </c>
      <c r="J3847" s="2" t="s">
        <v>198</v>
      </c>
    </row>
    <row r="3848" spans="1:10" ht="150" x14ac:dyDescent="0.25">
      <c r="A3848" s="2" t="s">
        <v>196</v>
      </c>
      <c r="B3848" s="2">
        <v>305.86807700000003</v>
      </c>
      <c r="C3848" s="2" t="s">
        <v>3463</v>
      </c>
      <c r="D3848" s="2" t="s">
        <v>3462</v>
      </c>
      <c r="E3848" s="2" t="s">
        <v>578</v>
      </c>
      <c r="F3848" s="3">
        <v>41416</v>
      </c>
      <c r="G3848" s="2" t="str">
        <f>"9780252094927"</f>
        <v>9780252094927</v>
      </c>
      <c r="H3848" s="2" t="s">
        <v>14</v>
      </c>
      <c r="I3848" s="4">
        <v>43780.922222222223</v>
      </c>
      <c r="J3848" s="2" t="s">
        <v>3464</v>
      </c>
    </row>
    <row r="3849" spans="1:10" ht="135" x14ac:dyDescent="0.25">
      <c r="A3849" s="2" t="s">
        <v>196</v>
      </c>
      <c r="B3849" s="2">
        <v>305.80097569999998</v>
      </c>
      <c r="C3849" s="2" t="s">
        <v>7273</v>
      </c>
      <c r="D3849" s="2" t="s">
        <v>7272</v>
      </c>
      <c r="E3849" s="2" t="s">
        <v>156</v>
      </c>
      <c r="F3849" s="3">
        <v>43213</v>
      </c>
      <c r="G3849" s="2" t="str">
        <f>"9781469641089"</f>
        <v>9781469641089</v>
      </c>
      <c r="H3849" s="2" t="s">
        <v>14</v>
      </c>
      <c r="I3849" s="4">
        <v>43430.165972222225</v>
      </c>
      <c r="J3849" s="2" t="s">
        <v>7274</v>
      </c>
    </row>
    <row r="3850" spans="1:10" ht="135" x14ac:dyDescent="0.25">
      <c r="A3850" s="2" t="s">
        <v>196</v>
      </c>
      <c r="B3850" s="2">
        <v>951</v>
      </c>
      <c r="C3850" s="2" t="s">
        <v>11835</v>
      </c>
      <c r="D3850" s="2" t="s">
        <v>11834</v>
      </c>
      <c r="E3850" s="2" t="s">
        <v>1869</v>
      </c>
      <c r="F3850" s="3">
        <v>41516</v>
      </c>
      <c r="G3850" s="2" t="str">
        <f>"9781442222359"</f>
        <v>9781442222359</v>
      </c>
      <c r="H3850" s="2" t="s">
        <v>14</v>
      </c>
      <c r="I3850" s="4">
        <v>42884.415277777778</v>
      </c>
      <c r="J3850" s="2" t="s">
        <v>11836</v>
      </c>
    </row>
    <row r="3851" spans="1:10" ht="135" x14ac:dyDescent="0.25">
      <c r="A3851" s="2" t="s">
        <v>196</v>
      </c>
      <c r="B3851" s="2">
        <v>305.89633300000003</v>
      </c>
      <c r="C3851" s="2" t="s">
        <v>9007</v>
      </c>
      <c r="D3851" s="2" t="s">
        <v>9006</v>
      </c>
      <c r="E3851" s="2" t="s">
        <v>69</v>
      </c>
      <c r="F3851" s="3">
        <v>43115</v>
      </c>
      <c r="G3851" s="2" t="str">
        <f>"9780253031457"</f>
        <v>9780253031457</v>
      </c>
      <c r="H3851" s="2" t="s">
        <v>14</v>
      </c>
      <c r="I3851" s="4">
        <v>43227.888888888891</v>
      </c>
      <c r="J3851" s="2" t="s">
        <v>9008</v>
      </c>
    </row>
    <row r="3852" spans="1:10" ht="135" x14ac:dyDescent="0.25">
      <c r="A3852" s="2" t="s">
        <v>196</v>
      </c>
      <c r="B3852" s="2">
        <v>305.896073</v>
      </c>
      <c r="C3852" s="2" t="s">
        <v>11924</v>
      </c>
      <c r="D3852" s="2" t="s">
        <v>11923</v>
      </c>
      <c r="E3852" s="2" t="s">
        <v>216</v>
      </c>
      <c r="F3852" s="3">
        <v>42644</v>
      </c>
      <c r="G3852" s="2" t="str">
        <f>"9781438462981"</f>
        <v>9781438462981</v>
      </c>
      <c r="H3852" s="2" t="s">
        <v>14</v>
      </c>
      <c r="I3852" s="4">
        <v>42871.945833333331</v>
      </c>
      <c r="J3852" s="2" t="s">
        <v>11925</v>
      </c>
    </row>
    <row r="3853" spans="1:10" ht="180" x14ac:dyDescent="0.25">
      <c r="A3853" s="2" t="s">
        <v>196</v>
      </c>
      <c r="B3853" s="2" t="s">
        <v>12549</v>
      </c>
      <c r="C3853" s="2" t="s">
        <v>11324</v>
      </c>
      <c r="D3853" s="2" t="s">
        <v>12548</v>
      </c>
      <c r="E3853" s="2" t="s">
        <v>54</v>
      </c>
      <c r="F3853" s="3">
        <v>41808</v>
      </c>
      <c r="G3853" s="2" t="str">
        <f>"9780804791595"</f>
        <v>9780804791595</v>
      </c>
      <c r="H3853" s="2" t="s">
        <v>14</v>
      </c>
      <c r="I3853" s="4">
        <v>42796.556250000001</v>
      </c>
      <c r="J3853" s="2" t="s">
        <v>12550</v>
      </c>
    </row>
    <row r="3854" spans="1:10" ht="135" x14ac:dyDescent="0.25">
      <c r="A3854" s="2" t="s">
        <v>196</v>
      </c>
      <c r="B3854" s="2" t="s">
        <v>4807</v>
      </c>
      <c r="C3854" s="2" t="s">
        <v>4808</v>
      </c>
      <c r="D3854" s="2" t="s">
        <v>4806</v>
      </c>
      <c r="E3854" s="2" t="s">
        <v>256</v>
      </c>
      <c r="F3854" s="3">
        <v>42298</v>
      </c>
      <c r="G3854" s="2" t="str">
        <f>"9780821445464"</f>
        <v>9780821445464</v>
      </c>
      <c r="H3854" s="2" t="s">
        <v>14</v>
      </c>
      <c r="I3854" s="4">
        <v>43623.850694444445</v>
      </c>
      <c r="J3854" s="2" t="s">
        <v>4809</v>
      </c>
    </row>
    <row r="3855" spans="1:10" ht="135" x14ac:dyDescent="0.25">
      <c r="A3855" s="2" t="s">
        <v>196</v>
      </c>
      <c r="B3855" s="2" t="s">
        <v>12948</v>
      </c>
      <c r="C3855" s="2" t="s">
        <v>12949</v>
      </c>
      <c r="D3855" s="2" t="s">
        <v>12947</v>
      </c>
      <c r="E3855" s="2" t="s">
        <v>310</v>
      </c>
      <c r="F3855" s="3">
        <v>42508</v>
      </c>
      <c r="G3855" s="2" t="str">
        <f>"9780815653554"</f>
        <v>9780815653554</v>
      </c>
      <c r="H3855" s="2" t="s">
        <v>14</v>
      </c>
      <c r="I3855" s="4">
        <v>42754.451388888891</v>
      </c>
      <c r="J3855" s="2" t="s">
        <v>12950</v>
      </c>
    </row>
    <row r="3856" spans="1:10" ht="135" x14ac:dyDescent="0.25">
      <c r="A3856" s="2" t="s">
        <v>196</v>
      </c>
      <c r="B3856" s="2">
        <v>305.80098500000003</v>
      </c>
      <c r="C3856" s="2" t="s">
        <v>11772</v>
      </c>
      <c r="D3856" s="2" t="s">
        <v>11771</v>
      </c>
      <c r="E3856" s="2" t="s">
        <v>180</v>
      </c>
      <c r="F3856" s="3">
        <v>42230</v>
      </c>
      <c r="G3856" s="2" t="str">
        <f>"9781479863778"</f>
        <v>9781479863778</v>
      </c>
      <c r="H3856" s="2" t="s">
        <v>14</v>
      </c>
      <c r="I3856" s="4">
        <v>42894.543055555558</v>
      </c>
      <c r="J3856" s="2" t="s">
        <v>11773</v>
      </c>
    </row>
    <row r="3857" spans="1:10" ht="180" x14ac:dyDescent="0.25">
      <c r="A3857" s="2" t="s">
        <v>196</v>
      </c>
      <c r="B3857" s="2">
        <v>304.80959999999999</v>
      </c>
      <c r="C3857" s="2" t="s">
        <v>7204</v>
      </c>
      <c r="D3857" s="2" t="s">
        <v>7203</v>
      </c>
      <c r="E3857" s="2" t="s">
        <v>121</v>
      </c>
      <c r="F3857" s="3">
        <v>43374</v>
      </c>
      <c r="G3857" s="2" t="str">
        <f>"9781609175818"</f>
        <v>9781609175818</v>
      </c>
      <c r="H3857" s="2" t="s">
        <v>14</v>
      </c>
      <c r="I3857" s="4">
        <v>43434.602083333331</v>
      </c>
      <c r="J3857" s="2" t="s">
        <v>7205</v>
      </c>
    </row>
    <row r="3858" spans="1:10" ht="135" x14ac:dyDescent="0.25">
      <c r="A3858" s="2" t="s">
        <v>196</v>
      </c>
      <c r="B3858" s="2" t="s">
        <v>3295</v>
      </c>
      <c r="C3858" s="2" t="s">
        <v>3296</v>
      </c>
      <c r="D3858" s="2" t="s">
        <v>3294</v>
      </c>
      <c r="E3858" s="2" t="s">
        <v>585</v>
      </c>
      <c r="F3858" s="3">
        <v>42531</v>
      </c>
      <c r="G3858" s="2" t="str">
        <f>"9780226360270"</f>
        <v>9780226360270</v>
      </c>
      <c r="H3858" s="2" t="s">
        <v>14</v>
      </c>
      <c r="I3858" s="4">
        <v>43792.40347222222</v>
      </c>
      <c r="J3858" s="2" t="s">
        <v>3297</v>
      </c>
    </row>
    <row r="3859" spans="1:10" ht="135" x14ac:dyDescent="0.25">
      <c r="A3859" s="2" t="s">
        <v>196</v>
      </c>
      <c r="B3859" s="2">
        <v>305.89240619999998</v>
      </c>
      <c r="C3859" s="2" t="s">
        <v>8380</v>
      </c>
      <c r="D3859" s="2" t="s">
        <v>8379</v>
      </c>
      <c r="E3859" s="2" t="s">
        <v>69</v>
      </c>
      <c r="F3859" s="3">
        <v>43171</v>
      </c>
      <c r="G3859" s="2" t="str">
        <f>"9780253025784"</f>
        <v>9780253025784</v>
      </c>
      <c r="H3859" s="2" t="s">
        <v>14</v>
      </c>
      <c r="I3859" s="4">
        <v>43314.54791666667</v>
      </c>
      <c r="J3859" s="2" t="s">
        <v>8381</v>
      </c>
    </row>
    <row r="3860" spans="1:10" ht="135" x14ac:dyDescent="0.25">
      <c r="A3860" s="2" t="s">
        <v>196</v>
      </c>
      <c r="B3860" s="2" t="s">
        <v>10119</v>
      </c>
      <c r="C3860" s="2" t="s">
        <v>10120</v>
      </c>
      <c r="D3860" s="2" t="s">
        <v>10118</v>
      </c>
      <c r="E3860" s="2" t="s">
        <v>180</v>
      </c>
      <c r="F3860" s="3">
        <v>42097</v>
      </c>
      <c r="G3860" s="2" t="str">
        <f>"9781479830619"</f>
        <v>9781479830619</v>
      </c>
      <c r="H3860" s="2" t="s">
        <v>14</v>
      </c>
      <c r="I3860" s="4">
        <v>43098.591666666667</v>
      </c>
      <c r="J3860" s="2" t="s">
        <v>10121</v>
      </c>
    </row>
    <row r="3861" spans="1:10" ht="135" x14ac:dyDescent="0.25">
      <c r="A3861" s="2" t="s">
        <v>196</v>
      </c>
      <c r="B3861" s="2">
        <v>306.20946090310002</v>
      </c>
      <c r="C3861" s="2" t="s">
        <v>8253</v>
      </c>
      <c r="D3861" s="2" t="s">
        <v>8252</v>
      </c>
      <c r="E3861" s="2" t="s">
        <v>50</v>
      </c>
      <c r="F3861" s="3">
        <v>43132</v>
      </c>
      <c r="G3861" s="2" t="str">
        <f>"9781496204684"</f>
        <v>9781496204684</v>
      </c>
      <c r="H3861" s="2" t="s">
        <v>14</v>
      </c>
      <c r="I3861" s="4">
        <v>43330.579861111109</v>
      </c>
      <c r="J3861" s="2" t="s">
        <v>8254</v>
      </c>
    </row>
    <row r="3862" spans="1:10" ht="165" x14ac:dyDescent="0.25">
      <c r="A3862" s="2" t="s">
        <v>196</v>
      </c>
      <c r="B3862" s="2">
        <v>304.60944000000001</v>
      </c>
      <c r="C3862" s="2" t="s">
        <v>4797</v>
      </c>
      <c r="D3862" s="2" t="s">
        <v>4796</v>
      </c>
      <c r="E3862" s="2" t="s">
        <v>2747</v>
      </c>
      <c r="F3862" s="3">
        <v>43458</v>
      </c>
      <c r="G3862" s="2" t="str">
        <f>"9783034335966"</f>
        <v>9783034335966</v>
      </c>
      <c r="H3862" s="2" t="s">
        <v>14</v>
      </c>
      <c r="I3862" s="4">
        <v>43624.95416666667</v>
      </c>
      <c r="J3862" s="2" t="s">
        <v>4798</v>
      </c>
    </row>
    <row r="3863" spans="1:10" ht="135" x14ac:dyDescent="0.25">
      <c r="A3863" s="2" t="s">
        <v>196</v>
      </c>
      <c r="B3863" s="2">
        <v>305.800973</v>
      </c>
      <c r="C3863" s="2" t="s">
        <v>2279</v>
      </c>
      <c r="D3863" s="2" t="s">
        <v>2278</v>
      </c>
      <c r="E3863" s="2" t="s">
        <v>73</v>
      </c>
      <c r="F3863" s="3">
        <v>43564</v>
      </c>
      <c r="G3863" s="2" t="str">
        <f>"9781452960333"</f>
        <v>9781452960333</v>
      </c>
      <c r="H3863" s="2" t="s">
        <v>14</v>
      </c>
      <c r="I3863" s="4">
        <v>43895.970833333333</v>
      </c>
      <c r="J3863" s="2" t="s">
        <v>2280</v>
      </c>
    </row>
    <row r="3864" spans="1:10" ht="150" x14ac:dyDescent="0.25">
      <c r="A3864" s="2" t="s">
        <v>196</v>
      </c>
      <c r="B3864" s="2">
        <v>306.76620942109002</v>
      </c>
      <c r="C3864" s="2" t="s">
        <v>20</v>
      </c>
      <c r="D3864" s="2" t="s">
        <v>1421</v>
      </c>
      <c r="E3864" s="2" t="s">
        <v>17</v>
      </c>
      <c r="F3864" s="3">
        <v>41753</v>
      </c>
      <c r="G3864" s="2" t="str">
        <f>"9781137316073"</f>
        <v>9781137316073</v>
      </c>
      <c r="H3864" s="2" t="s">
        <v>14</v>
      </c>
      <c r="I3864" s="4">
        <v>43944.425694444442</v>
      </c>
      <c r="J3864" s="2" t="s">
        <v>1422</v>
      </c>
    </row>
    <row r="3865" spans="1:10" ht="135" x14ac:dyDescent="0.25">
      <c r="A3865" s="2" t="s">
        <v>196</v>
      </c>
      <c r="B3865" s="2" t="s">
        <v>12263</v>
      </c>
      <c r="C3865" s="2" t="s">
        <v>20</v>
      </c>
      <c r="D3865" s="2" t="s">
        <v>12262</v>
      </c>
      <c r="E3865" s="2" t="s">
        <v>17</v>
      </c>
      <c r="F3865" s="3">
        <v>42381</v>
      </c>
      <c r="G3865" s="2" t="str">
        <f>"9781137442802"</f>
        <v>9781137442802</v>
      </c>
      <c r="H3865" s="2" t="s">
        <v>14</v>
      </c>
      <c r="I3865" s="4">
        <v>42825.433333333334</v>
      </c>
      <c r="J3865" s="2" t="s">
        <v>12264</v>
      </c>
    </row>
    <row r="3866" spans="1:10" ht="135" x14ac:dyDescent="0.25">
      <c r="A3866" s="2" t="s">
        <v>196</v>
      </c>
      <c r="B3866" s="2" t="s">
        <v>7375</v>
      </c>
      <c r="C3866" s="2" t="s">
        <v>7376</v>
      </c>
      <c r="D3866" s="2" t="s">
        <v>7374</v>
      </c>
      <c r="E3866" s="2" t="s">
        <v>130</v>
      </c>
      <c r="F3866" s="3">
        <v>43137</v>
      </c>
      <c r="G3866" s="2" t="str">
        <f>"9780813052083"</f>
        <v>9780813052083</v>
      </c>
      <c r="H3866" s="2" t="s">
        <v>14</v>
      </c>
      <c r="I3866" s="4">
        <v>43421.643750000003</v>
      </c>
      <c r="J3866" s="2" t="s">
        <v>7377</v>
      </c>
    </row>
    <row r="3867" spans="1:10" ht="135" x14ac:dyDescent="0.25">
      <c r="A3867" s="2" t="s">
        <v>196</v>
      </c>
      <c r="B3867" s="2" t="s">
        <v>3894</v>
      </c>
      <c r="C3867" s="2" t="s">
        <v>3895</v>
      </c>
      <c r="D3867" s="2" t="s">
        <v>3893</v>
      </c>
      <c r="E3867" s="2" t="s">
        <v>156</v>
      </c>
      <c r="F3867" s="3">
        <v>42255</v>
      </c>
      <c r="G3867" s="2" t="str">
        <f>"9781469624457"</f>
        <v>9781469624457</v>
      </c>
      <c r="H3867" s="2" t="s">
        <v>14</v>
      </c>
      <c r="I3867" s="4">
        <v>43742.645833333336</v>
      </c>
      <c r="J3867" s="2" t="s">
        <v>3896</v>
      </c>
    </row>
    <row r="3868" spans="1:10" ht="135" x14ac:dyDescent="0.25">
      <c r="A3868" s="2" t="s">
        <v>196</v>
      </c>
      <c r="B3868" s="2" t="s">
        <v>12851</v>
      </c>
      <c r="C3868" s="2" t="s">
        <v>12852</v>
      </c>
      <c r="D3868" s="2" t="s">
        <v>12850</v>
      </c>
      <c r="E3868" s="2" t="s">
        <v>235</v>
      </c>
      <c r="F3868" s="3">
        <v>42422</v>
      </c>
      <c r="G3868" s="2" t="str">
        <f>"9781440837753"</f>
        <v>9781440837753</v>
      </c>
      <c r="H3868" s="2" t="s">
        <v>14</v>
      </c>
      <c r="I3868" s="4">
        <v>42768.563194444447</v>
      </c>
      <c r="J3868" s="2" t="s">
        <v>12853</v>
      </c>
    </row>
    <row r="3869" spans="1:10" ht="135" x14ac:dyDescent="0.25">
      <c r="A3869" s="2" t="s">
        <v>196</v>
      </c>
      <c r="B3869" s="2" t="s">
        <v>942</v>
      </c>
      <c r="C3869" s="2" t="s">
        <v>2241</v>
      </c>
      <c r="D3869" s="2" t="s">
        <v>2240</v>
      </c>
      <c r="E3869" s="2" t="s">
        <v>69</v>
      </c>
      <c r="F3869" s="3">
        <v>41444</v>
      </c>
      <c r="G3869" s="2" t="str">
        <f>"9780253008909"</f>
        <v>9780253008909</v>
      </c>
      <c r="H3869" s="2" t="s">
        <v>14</v>
      </c>
      <c r="I3869" s="4">
        <v>43898.5625</v>
      </c>
      <c r="J3869" s="2" t="s">
        <v>2242</v>
      </c>
    </row>
    <row r="3870" spans="1:10" ht="135" x14ac:dyDescent="0.25">
      <c r="A3870" s="2" t="s">
        <v>196</v>
      </c>
      <c r="B3870" s="2">
        <v>305.89510000000001</v>
      </c>
      <c r="C3870" s="2" t="s">
        <v>4512</v>
      </c>
      <c r="D3870" s="2" t="s">
        <v>4511</v>
      </c>
      <c r="E3870" s="2" t="s">
        <v>221</v>
      </c>
      <c r="F3870" s="3">
        <v>43221</v>
      </c>
      <c r="G3870" s="2" t="str">
        <f>"9789888455102"</f>
        <v>9789888455102</v>
      </c>
      <c r="H3870" s="2" t="s">
        <v>14</v>
      </c>
      <c r="I3870" s="4">
        <v>43656.409722222219</v>
      </c>
      <c r="J3870" s="2" t="s">
        <v>4513</v>
      </c>
    </row>
    <row r="3871" spans="1:10" ht="150" x14ac:dyDescent="0.25">
      <c r="A3871" s="2" t="s">
        <v>196</v>
      </c>
      <c r="B3871" s="2" t="s">
        <v>11827</v>
      </c>
      <c r="C3871" s="2" t="s">
        <v>11828</v>
      </c>
      <c r="D3871" s="2" t="s">
        <v>11826</v>
      </c>
      <c r="E3871" s="2" t="s">
        <v>526</v>
      </c>
      <c r="F3871" s="3">
        <v>42109</v>
      </c>
      <c r="G3871" s="2" t="str">
        <f>"9780292768123"</f>
        <v>9780292768123</v>
      </c>
      <c r="H3871" s="2" t="s">
        <v>14</v>
      </c>
      <c r="I3871" s="4">
        <v>42884.662499999999</v>
      </c>
      <c r="J3871" s="2" t="s">
        <v>11829</v>
      </c>
    </row>
    <row r="3872" spans="1:10" ht="135" x14ac:dyDescent="0.25">
      <c r="A3872" s="2" t="s">
        <v>196</v>
      </c>
      <c r="B3872" s="2" t="s">
        <v>12642</v>
      </c>
      <c r="C3872" s="2" t="s">
        <v>12643</v>
      </c>
      <c r="D3872" s="2" t="s">
        <v>12641</v>
      </c>
      <c r="E3872" s="2" t="s">
        <v>156</v>
      </c>
      <c r="F3872" s="3">
        <v>42177</v>
      </c>
      <c r="G3872" s="2" t="str">
        <f>"9781469623085"</f>
        <v>9781469623085</v>
      </c>
      <c r="H3872" s="2" t="s">
        <v>14</v>
      </c>
      <c r="I3872" s="4">
        <v>42787.025694444441</v>
      </c>
      <c r="J3872" s="2" t="s">
        <v>12644</v>
      </c>
    </row>
    <row r="3873" spans="1:10" ht="135" x14ac:dyDescent="0.25">
      <c r="A3873" s="2" t="s">
        <v>196</v>
      </c>
      <c r="B3873" s="2" t="s">
        <v>8929</v>
      </c>
      <c r="C3873" s="2" t="s">
        <v>5668</v>
      </c>
      <c r="D3873" s="2" t="s">
        <v>8928</v>
      </c>
      <c r="E3873" s="2" t="s">
        <v>578</v>
      </c>
      <c r="F3873" s="3">
        <v>42236</v>
      </c>
      <c r="G3873" s="2" t="str">
        <f>"9780252097737"</f>
        <v>9780252097737</v>
      </c>
      <c r="H3873" s="2" t="s">
        <v>14</v>
      </c>
      <c r="I3873" s="4">
        <v>43237.871527777781</v>
      </c>
      <c r="J3873" s="2" t="s">
        <v>8930</v>
      </c>
    </row>
    <row r="3874" spans="1:10" ht="135" x14ac:dyDescent="0.25">
      <c r="A3874" s="2" t="s">
        <v>196</v>
      </c>
      <c r="B3874" s="2">
        <v>305.800972</v>
      </c>
      <c r="C3874" s="2" t="s">
        <v>3420</v>
      </c>
      <c r="D3874" s="2" t="s">
        <v>3419</v>
      </c>
      <c r="E3874" s="2" t="s">
        <v>41</v>
      </c>
      <c r="F3874" s="3">
        <v>43515</v>
      </c>
      <c r="G3874" s="2" t="str">
        <f>"9780817392208"</f>
        <v>9780817392208</v>
      </c>
      <c r="H3874" s="2" t="s">
        <v>14</v>
      </c>
      <c r="I3874" s="4">
        <v>43783.694444444445</v>
      </c>
      <c r="J3874" s="2" t="s">
        <v>3421</v>
      </c>
    </row>
    <row r="3875" spans="1:10" ht="135" x14ac:dyDescent="0.25">
      <c r="A3875" s="2" t="s">
        <v>196</v>
      </c>
      <c r="B3875" s="2">
        <v>975.00490000000002</v>
      </c>
      <c r="C3875" s="2" t="s">
        <v>6598</v>
      </c>
      <c r="D3875" s="2" t="s">
        <v>6597</v>
      </c>
      <c r="E3875" s="2" t="s">
        <v>531</v>
      </c>
      <c r="F3875" s="3">
        <v>41985</v>
      </c>
      <c r="G3875" s="2" t="str">
        <f>"9780809333981"</f>
        <v>9780809333981</v>
      </c>
      <c r="H3875" s="2" t="s">
        <v>14</v>
      </c>
      <c r="I3875" s="4">
        <v>43505.05972222222</v>
      </c>
      <c r="J3875" s="2" t="s">
        <v>6599</v>
      </c>
    </row>
    <row r="3876" spans="1:10" ht="135" x14ac:dyDescent="0.25">
      <c r="A3876" s="2" t="s">
        <v>196</v>
      </c>
      <c r="B3876" s="2" t="s">
        <v>6375</v>
      </c>
      <c r="C3876" s="2" t="s">
        <v>336</v>
      </c>
      <c r="D3876" s="2" t="s">
        <v>6374</v>
      </c>
      <c r="E3876" s="2" t="s">
        <v>1698</v>
      </c>
      <c r="F3876" s="3">
        <v>43157</v>
      </c>
      <c r="G3876" s="2" t="str">
        <f>"9780674919907"</f>
        <v>9780674919907</v>
      </c>
      <c r="H3876" s="2" t="s">
        <v>14</v>
      </c>
      <c r="I3876" s="4">
        <v>43521.659722222219</v>
      </c>
      <c r="J3876" s="2" t="s">
        <v>6376</v>
      </c>
    </row>
    <row r="3877" spans="1:10" ht="135" x14ac:dyDescent="0.25">
      <c r="A3877" s="2" t="s">
        <v>196</v>
      </c>
      <c r="B3877" s="2" t="s">
        <v>9587</v>
      </c>
      <c r="C3877" s="2" t="s">
        <v>9588</v>
      </c>
      <c r="D3877" s="2" t="s">
        <v>9586</v>
      </c>
      <c r="E3877" s="2" t="s">
        <v>164</v>
      </c>
      <c r="F3877" s="3">
        <v>42644</v>
      </c>
      <c r="G3877" s="2" t="str">
        <f>"9780826357373"</f>
        <v>9780826357373</v>
      </c>
      <c r="H3877" s="2" t="s">
        <v>14</v>
      </c>
      <c r="I3877" s="4">
        <v>43148.938194444447</v>
      </c>
      <c r="J3877" s="2" t="s">
        <v>9589</v>
      </c>
    </row>
    <row r="3878" spans="1:10" ht="135" x14ac:dyDescent="0.25">
      <c r="A3878" s="2" t="s">
        <v>196</v>
      </c>
      <c r="B3878" s="2" t="s">
        <v>9422</v>
      </c>
      <c r="C3878" s="2" t="s">
        <v>9423</v>
      </c>
      <c r="D3878" s="2" t="s">
        <v>9421</v>
      </c>
      <c r="E3878" s="2" t="s">
        <v>69</v>
      </c>
      <c r="F3878" s="3">
        <v>42324</v>
      </c>
      <c r="G3878" s="2" t="str">
        <f>"9780253017635"</f>
        <v>9780253017635</v>
      </c>
      <c r="H3878" s="2" t="s">
        <v>14</v>
      </c>
      <c r="I3878" s="4">
        <v>43169.703472222223</v>
      </c>
      <c r="J3878" s="2" t="s">
        <v>9424</v>
      </c>
    </row>
    <row r="3879" spans="1:10" ht="135" x14ac:dyDescent="0.25">
      <c r="A3879" s="2" t="s">
        <v>196</v>
      </c>
      <c r="B3879" s="2" t="s">
        <v>5322</v>
      </c>
      <c r="C3879" s="2" t="s">
        <v>5323</v>
      </c>
      <c r="D3879" s="2" t="s">
        <v>5321</v>
      </c>
      <c r="E3879" s="2" t="s">
        <v>216</v>
      </c>
      <c r="F3879" s="3">
        <v>42979</v>
      </c>
      <c r="G3879" s="2" t="str">
        <f>"9781438465951"</f>
        <v>9781438465951</v>
      </c>
      <c r="H3879" s="2" t="s">
        <v>14</v>
      </c>
      <c r="I3879" s="4">
        <v>43605.370138888888</v>
      </c>
      <c r="J3879" s="2" t="s">
        <v>5324</v>
      </c>
    </row>
    <row r="3880" spans="1:10" ht="135" x14ac:dyDescent="0.25">
      <c r="A3880" s="2" t="s">
        <v>196</v>
      </c>
      <c r="B3880" s="2">
        <v>305.896073</v>
      </c>
      <c r="C3880" s="2" t="s">
        <v>10050</v>
      </c>
      <c r="D3880" s="2" t="s">
        <v>10049</v>
      </c>
      <c r="E3880" s="2" t="s">
        <v>328</v>
      </c>
      <c r="F3880" s="3">
        <v>40771</v>
      </c>
      <c r="G3880" s="2" t="str">
        <f>"9780739169315"</f>
        <v>9780739169315</v>
      </c>
      <c r="H3880" s="2" t="s">
        <v>14</v>
      </c>
      <c r="I3880" s="4">
        <v>43107.685416666667</v>
      </c>
      <c r="J3880" s="2" t="s">
        <v>10051</v>
      </c>
    </row>
    <row r="3881" spans="1:10" ht="135" x14ac:dyDescent="0.25">
      <c r="A3881" s="2" t="s">
        <v>196</v>
      </c>
      <c r="B3881" s="2">
        <v>305.80097499999999</v>
      </c>
      <c r="C3881" s="2" t="s">
        <v>8122</v>
      </c>
      <c r="D3881" s="2" t="s">
        <v>8121</v>
      </c>
      <c r="E3881" s="2" t="s">
        <v>322</v>
      </c>
      <c r="F3881" s="3">
        <v>42887</v>
      </c>
      <c r="G3881" s="2" t="str">
        <f>"9780820350738"</f>
        <v>9780820350738</v>
      </c>
      <c r="H3881" s="2" t="s">
        <v>14</v>
      </c>
      <c r="I3881" s="4">
        <v>43350.630555555559</v>
      </c>
      <c r="J3881" s="2" t="s">
        <v>8123</v>
      </c>
    </row>
    <row r="3882" spans="1:10" ht="180" x14ac:dyDescent="0.25">
      <c r="A3882" s="2" t="s">
        <v>196</v>
      </c>
      <c r="B3882" s="2">
        <v>305.42097469999999</v>
      </c>
      <c r="C3882" s="2" t="s">
        <v>7078</v>
      </c>
      <c r="D3882" s="2" t="s">
        <v>7077</v>
      </c>
      <c r="E3882" s="2" t="s">
        <v>156</v>
      </c>
      <c r="F3882" s="3">
        <v>42983</v>
      </c>
      <c r="G3882" s="2" t="str">
        <f>"9781469635859"</f>
        <v>9781469635859</v>
      </c>
      <c r="H3882" s="2" t="s">
        <v>14</v>
      </c>
      <c r="I3882" s="4">
        <v>43451.627083333333</v>
      </c>
      <c r="J3882" s="2" t="s">
        <v>7079</v>
      </c>
    </row>
    <row r="3883" spans="1:10" ht="135" x14ac:dyDescent="0.25">
      <c r="A3883" s="2" t="s">
        <v>196</v>
      </c>
      <c r="B3883" s="2">
        <v>305.80098211000001</v>
      </c>
      <c r="C3883" s="2" t="s">
        <v>8442</v>
      </c>
      <c r="D3883" s="2" t="s">
        <v>8441</v>
      </c>
      <c r="E3883" s="2" t="s">
        <v>54</v>
      </c>
      <c r="F3883" s="3">
        <v>43116</v>
      </c>
      <c r="G3883" s="2" t="str">
        <f>"9781503604353"</f>
        <v>9781503604353</v>
      </c>
      <c r="H3883" s="2" t="s">
        <v>14</v>
      </c>
      <c r="I3883" s="4">
        <v>43307.536111111112</v>
      </c>
      <c r="J3883" s="2" t="s">
        <v>8443</v>
      </c>
    </row>
    <row r="3884" spans="1:10" ht="135" x14ac:dyDescent="0.25">
      <c r="A3884" s="2" t="s">
        <v>196</v>
      </c>
      <c r="B3884" s="2">
        <v>305.80097579</v>
      </c>
      <c r="C3884" s="2" t="s">
        <v>6487</v>
      </c>
      <c r="D3884" s="2" t="s">
        <v>6486</v>
      </c>
      <c r="E3884" s="2" t="s">
        <v>130</v>
      </c>
      <c r="F3884" s="3">
        <v>42255</v>
      </c>
      <c r="G3884" s="2" t="str">
        <f>"9780813055411"</f>
        <v>9780813055411</v>
      </c>
      <c r="H3884" s="2" t="s">
        <v>14</v>
      </c>
      <c r="I3884" s="4">
        <v>43514.686111111114</v>
      </c>
      <c r="J3884" s="2" t="s">
        <v>6488</v>
      </c>
    </row>
    <row r="3885" spans="1:10" ht="135" x14ac:dyDescent="0.25">
      <c r="A3885" s="2" t="s">
        <v>196</v>
      </c>
      <c r="B3885" s="2" t="s">
        <v>10863</v>
      </c>
      <c r="C3885" s="2" t="s">
        <v>10864</v>
      </c>
      <c r="D3885" s="2" t="s">
        <v>10862</v>
      </c>
      <c r="E3885" s="2" t="s">
        <v>109</v>
      </c>
      <c r="F3885" s="3">
        <v>42149</v>
      </c>
      <c r="G3885" s="2" t="str">
        <f>"9780819575463"</f>
        <v>9780819575463</v>
      </c>
      <c r="H3885" s="2" t="s">
        <v>14</v>
      </c>
      <c r="I3885" s="4">
        <v>43031.568055555559</v>
      </c>
      <c r="J3885" s="2" t="s">
        <v>10865</v>
      </c>
    </row>
    <row r="3886" spans="1:10" ht="135" x14ac:dyDescent="0.25">
      <c r="A3886" s="2" t="s">
        <v>196</v>
      </c>
      <c r="B3886" s="2" t="s">
        <v>2192</v>
      </c>
      <c r="C3886" s="2" t="s">
        <v>2193</v>
      </c>
      <c r="D3886" s="2" t="s">
        <v>2190</v>
      </c>
      <c r="E3886" s="2" t="s">
        <v>2191</v>
      </c>
      <c r="F3886" s="3">
        <v>41518</v>
      </c>
      <c r="G3886" s="2" t="str">
        <f>"9780817915766"</f>
        <v>9780817915766</v>
      </c>
      <c r="H3886" s="2" t="s">
        <v>14</v>
      </c>
      <c r="I3886" s="4">
        <v>43903.688194444447</v>
      </c>
      <c r="J3886" s="2" t="s">
        <v>2194</v>
      </c>
    </row>
    <row r="3887" spans="1:10" ht="135" x14ac:dyDescent="0.25">
      <c r="A3887" s="2" t="s">
        <v>196</v>
      </c>
      <c r="B3887" s="2">
        <v>302</v>
      </c>
      <c r="C3887" s="2" t="s">
        <v>20</v>
      </c>
      <c r="D3887" s="2" t="s">
        <v>710</v>
      </c>
      <c r="E3887" s="2" t="s">
        <v>37</v>
      </c>
      <c r="F3887" s="3">
        <v>42604</v>
      </c>
      <c r="G3887" s="2" t="str">
        <f>"9783319389424"</f>
        <v>9783319389424</v>
      </c>
      <c r="H3887" s="2" t="s">
        <v>14</v>
      </c>
      <c r="I3887" s="4">
        <v>43997.506944444445</v>
      </c>
      <c r="J3887" s="2" t="s">
        <v>711</v>
      </c>
    </row>
    <row r="3888" spans="1:10" ht="165" x14ac:dyDescent="0.25">
      <c r="A3888" s="2" t="s">
        <v>7609</v>
      </c>
      <c r="B3888" s="2" t="s">
        <v>7610</v>
      </c>
      <c r="C3888" s="2" t="s">
        <v>7611</v>
      </c>
      <c r="D3888" s="2" t="s">
        <v>7608</v>
      </c>
      <c r="E3888" s="2" t="s">
        <v>105</v>
      </c>
      <c r="F3888" s="3">
        <v>43358</v>
      </c>
      <c r="G3888" s="2" t="str">
        <f>"9781610756426"</f>
        <v>9781610756426</v>
      </c>
      <c r="H3888" s="2" t="s">
        <v>14</v>
      </c>
      <c r="I3888" s="4">
        <v>43405.415972222225</v>
      </c>
      <c r="J3888" s="2" t="s">
        <v>7612</v>
      </c>
    </row>
    <row r="3889" spans="1:10" ht="135" x14ac:dyDescent="0.25">
      <c r="A3889" s="2" t="s">
        <v>610</v>
      </c>
      <c r="B3889" s="2">
        <v>70.449355020973002</v>
      </c>
      <c r="C3889" s="2" t="s">
        <v>611</v>
      </c>
      <c r="D3889" s="2" t="s">
        <v>609</v>
      </c>
      <c r="E3889" s="2" t="s">
        <v>499</v>
      </c>
      <c r="F3889" s="3">
        <v>43801</v>
      </c>
      <c r="G3889" s="2" t="str">
        <f>"9781626167131"</f>
        <v>9781626167131</v>
      </c>
      <c r="H3889" s="2" t="s">
        <v>14</v>
      </c>
      <c r="I3889" s="4">
        <v>44007.867361111108</v>
      </c>
      <c r="J3889" s="2" t="s">
        <v>612</v>
      </c>
    </row>
    <row r="3890" spans="1:10" ht="150" x14ac:dyDescent="0.25">
      <c r="A3890" s="2" t="s">
        <v>610</v>
      </c>
      <c r="B3890" s="2" t="s">
        <v>2524</v>
      </c>
      <c r="C3890" s="2" t="s">
        <v>2525</v>
      </c>
      <c r="D3890" s="2" t="s">
        <v>2523</v>
      </c>
      <c r="E3890" s="2" t="s">
        <v>627</v>
      </c>
      <c r="F3890" s="3">
        <v>43565</v>
      </c>
      <c r="G3890" s="2" t="str">
        <f>"9786155053146"</f>
        <v>9786155053146</v>
      </c>
      <c r="H3890" s="2" t="s">
        <v>14</v>
      </c>
      <c r="I3890" s="4">
        <v>43879.855555555558</v>
      </c>
      <c r="J3890" s="2" t="s">
        <v>2526</v>
      </c>
    </row>
    <row r="3891" spans="1:10" ht="135" x14ac:dyDescent="0.25">
      <c r="A3891" s="2" t="s">
        <v>5695</v>
      </c>
      <c r="B3891" s="2">
        <v>411</v>
      </c>
      <c r="C3891" s="2" t="s">
        <v>6575</v>
      </c>
      <c r="D3891" s="2" t="s">
        <v>6574</v>
      </c>
      <c r="E3891" s="2" t="s">
        <v>73</v>
      </c>
      <c r="F3891" s="3">
        <v>42078</v>
      </c>
      <c r="G3891" s="2" t="str">
        <f>"9781452944364"</f>
        <v>9781452944364</v>
      </c>
      <c r="H3891" s="2" t="s">
        <v>14</v>
      </c>
      <c r="I3891" s="4">
        <v>43507.588888888888</v>
      </c>
      <c r="J3891" s="2" t="s">
        <v>6576</v>
      </c>
    </row>
    <row r="3892" spans="1:10" ht="135" x14ac:dyDescent="0.25">
      <c r="A3892" s="2" t="s">
        <v>5695</v>
      </c>
      <c r="B3892" s="2">
        <v>306.44</v>
      </c>
      <c r="C3892" s="2" t="s">
        <v>7620</v>
      </c>
      <c r="D3892" s="2" t="s">
        <v>7619</v>
      </c>
      <c r="E3892" s="2" t="s">
        <v>846</v>
      </c>
      <c r="F3892" s="3">
        <v>43040</v>
      </c>
      <c r="G3892" s="2" t="str">
        <f>"9781442606210"</f>
        <v>9781442606210</v>
      </c>
      <c r="H3892" s="2" t="s">
        <v>14</v>
      </c>
      <c r="I3892" s="4">
        <v>43404.67083333333</v>
      </c>
      <c r="J3892" s="2" t="s">
        <v>7621</v>
      </c>
    </row>
    <row r="3893" spans="1:10" ht="135" x14ac:dyDescent="0.25">
      <c r="A3893" s="2" t="s">
        <v>5695</v>
      </c>
      <c r="B3893" s="2">
        <v>401</v>
      </c>
      <c r="C3893" s="2" t="s">
        <v>5696</v>
      </c>
      <c r="D3893" s="2" t="s">
        <v>5694</v>
      </c>
      <c r="E3893" s="2" t="s">
        <v>54</v>
      </c>
      <c r="F3893" s="3">
        <v>37609</v>
      </c>
      <c r="G3893" s="2" t="str">
        <f>"9780804766890"</f>
        <v>9780804766890</v>
      </c>
      <c r="H3893" s="2" t="s">
        <v>14</v>
      </c>
      <c r="I3893" s="4">
        <v>43579.876388888886</v>
      </c>
      <c r="J3893" s="2" t="s">
        <v>5697</v>
      </c>
    </row>
    <row r="3894" spans="1:10" ht="135" x14ac:dyDescent="0.25">
      <c r="A3894" s="2" t="s">
        <v>5140</v>
      </c>
      <c r="B3894" s="2" t="s">
        <v>5681</v>
      </c>
      <c r="C3894" s="2" t="s">
        <v>5682</v>
      </c>
      <c r="D3894" s="2" t="s">
        <v>5680</v>
      </c>
      <c r="E3894" s="2" t="s">
        <v>58</v>
      </c>
      <c r="F3894" s="3">
        <v>43529</v>
      </c>
      <c r="G3894" s="2" t="str">
        <f>"9780299318635"</f>
        <v>9780299318635</v>
      </c>
      <c r="H3894" s="2" t="s">
        <v>14</v>
      </c>
      <c r="I3894" s="4">
        <v>43581.433333333334</v>
      </c>
      <c r="J3894" s="2" t="s">
        <v>5683</v>
      </c>
    </row>
    <row r="3895" spans="1:10" ht="135" x14ac:dyDescent="0.25">
      <c r="A3895" s="2" t="s">
        <v>5140</v>
      </c>
      <c r="B3895" s="2">
        <v>345</v>
      </c>
      <c r="C3895" s="2" t="s">
        <v>5422</v>
      </c>
      <c r="D3895" s="2" t="s">
        <v>5421</v>
      </c>
      <c r="E3895" s="2" t="s">
        <v>268</v>
      </c>
      <c r="F3895" s="3">
        <v>41536</v>
      </c>
      <c r="G3895" s="2" t="str">
        <f>"9780815725305"</f>
        <v>9780815725305</v>
      </c>
      <c r="H3895" s="2" t="s">
        <v>14</v>
      </c>
      <c r="I3895" s="4">
        <v>43599.756944444445</v>
      </c>
      <c r="J3895" s="2" t="s">
        <v>5423</v>
      </c>
    </row>
    <row r="3896" spans="1:10" ht="135" x14ac:dyDescent="0.25">
      <c r="A3896" s="2" t="s">
        <v>5140</v>
      </c>
      <c r="B3896" s="2">
        <v>364.36097640000003</v>
      </c>
      <c r="C3896" s="2" t="s">
        <v>5141</v>
      </c>
      <c r="D3896" s="2" t="s">
        <v>5139</v>
      </c>
      <c r="E3896" s="2" t="s">
        <v>526</v>
      </c>
      <c r="F3896" s="3">
        <v>36161</v>
      </c>
      <c r="G3896" s="2" t="str">
        <f>"9781477307410"</f>
        <v>9781477307410</v>
      </c>
      <c r="H3896" s="2" t="s">
        <v>14</v>
      </c>
      <c r="I3896" s="4">
        <v>43609.831944444442</v>
      </c>
      <c r="J3896" s="2" t="s">
        <v>5142</v>
      </c>
    </row>
    <row r="3897" spans="1:10" ht="135" x14ac:dyDescent="0.25">
      <c r="A3897" s="2" t="s">
        <v>5140</v>
      </c>
      <c r="B3897" s="2">
        <v>346.44076999999999</v>
      </c>
      <c r="C3897" s="2" t="s">
        <v>5652</v>
      </c>
      <c r="D3897" s="2" t="s">
        <v>5651</v>
      </c>
      <c r="E3897" s="2" t="s">
        <v>28</v>
      </c>
      <c r="F3897" s="3">
        <v>43413</v>
      </c>
      <c r="G3897" s="2" t="str">
        <f>"9780813941424"</f>
        <v>9780813941424</v>
      </c>
      <c r="H3897" s="2" t="s">
        <v>14</v>
      </c>
      <c r="I3897" s="4">
        <v>43583.584722222222</v>
      </c>
      <c r="J3897" s="2" t="s">
        <v>5653</v>
      </c>
    </row>
    <row r="3898" spans="1:10" ht="135" x14ac:dyDescent="0.25">
      <c r="A3898" s="2" t="s">
        <v>5140</v>
      </c>
      <c r="B3898" s="2">
        <v>365.48097300000001</v>
      </c>
      <c r="C3898" s="2" t="s">
        <v>5692</v>
      </c>
      <c r="D3898" s="2" t="s">
        <v>5691</v>
      </c>
      <c r="E3898" s="2" t="s">
        <v>156</v>
      </c>
      <c r="F3898" s="3">
        <v>42471</v>
      </c>
      <c r="G3898" s="2" t="str">
        <f>"9781469628097"</f>
        <v>9781469628097</v>
      </c>
      <c r="H3898" s="2" t="s">
        <v>14</v>
      </c>
      <c r="I3898" s="4">
        <v>43580.386111111111</v>
      </c>
      <c r="J3898" s="2" t="s">
        <v>5693</v>
      </c>
    </row>
    <row r="3899" spans="1:10" ht="135" x14ac:dyDescent="0.25">
      <c r="A3899" s="2" t="s">
        <v>1008</v>
      </c>
      <c r="B3899" s="2">
        <v>306.097209034</v>
      </c>
      <c r="C3899" s="2" t="s">
        <v>9476</v>
      </c>
      <c r="D3899" s="2" t="s">
        <v>9475</v>
      </c>
      <c r="E3899" s="2" t="s">
        <v>50</v>
      </c>
      <c r="F3899" s="3">
        <v>42156</v>
      </c>
      <c r="G3899" s="2" t="str">
        <f>"9780803274372"</f>
        <v>9780803274372</v>
      </c>
      <c r="H3899" s="2" t="s">
        <v>14</v>
      </c>
      <c r="I3899" s="4">
        <v>43163.746527777781</v>
      </c>
      <c r="J3899" s="2" t="s">
        <v>9477</v>
      </c>
    </row>
    <row r="3900" spans="1:10" ht="150" x14ac:dyDescent="0.25">
      <c r="A3900" s="2" t="s">
        <v>1008</v>
      </c>
      <c r="B3900" s="2" t="s">
        <v>1332</v>
      </c>
      <c r="C3900" s="2" t="s">
        <v>10299</v>
      </c>
      <c r="D3900" s="2" t="s">
        <v>10298</v>
      </c>
      <c r="E3900" s="2" t="s">
        <v>89</v>
      </c>
      <c r="F3900" s="3">
        <v>42461</v>
      </c>
      <c r="G3900" s="2" t="str">
        <f>"9781782385431"</f>
        <v>9781782385431</v>
      </c>
      <c r="H3900" s="2" t="s">
        <v>14</v>
      </c>
      <c r="I3900" s="4">
        <v>43071.945833333331</v>
      </c>
      <c r="J3900" s="2" t="s">
        <v>10300</v>
      </c>
    </row>
    <row r="3901" spans="1:10" ht="135" x14ac:dyDescent="0.25">
      <c r="A3901" s="2" t="s">
        <v>1008</v>
      </c>
      <c r="B3901" s="2">
        <v>302.23</v>
      </c>
      <c r="C3901" s="2" t="s">
        <v>6583</v>
      </c>
      <c r="D3901" s="2" t="s">
        <v>6582</v>
      </c>
      <c r="E3901" s="2" t="s">
        <v>73</v>
      </c>
      <c r="F3901" s="3">
        <v>42278</v>
      </c>
      <c r="G3901" s="2" t="str">
        <f>"9781452945064"</f>
        <v>9781452945064</v>
      </c>
      <c r="H3901" s="2" t="s">
        <v>14</v>
      </c>
      <c r="I3901" s="4">
        <v>43506.69027777778</v>
      </c>
      <c r="J3901" s="2" t="s">
        <v>6584</v>
      </c>
    </row>
    <row r="3902" spans="1:10" ht="135" x14ac:dyDescent="0.25">
      <c r="A3902" s="2" t="s">
        <v>1008</v>
      </c>
      <c r="D3902" s="2" t="s">
        <v>1887</v>
      </c>
      <c r="E3902" s="2" t="s">
        <v>33</v>
      </c>
      <c r="F3902" s="3">
        <v>43221</v>
      </c>
      <c r="G3902" s="2" t="str">
        <f>"9781613765845"</f>
        <v>9781613765845</v>
      </c>
      <c r="H3902" s="2" t="s">
        <v>14</v>
      </c>
      <c r="I3902" s="4">
        <v>43923.42291666667</v>
      </c>
      <c r="J3902" s="2" t="s">
        <v>1888</v>
      </c>
    </row>
    <row r="3903" spans="1:10" ht="135" x14ac:dyDescent="0.25">
      <c r="A3903" s="2" t="s">
        <v>1008</v>
      </c>
      <c r="B3903" s="2">
        <v>860.9982</v>
      </c>
      <c r="C3903" s="2" t="s">
        <v>1082</v>
      </c>
      <c r="D3903" s="2" t="s">
        <v>7184</v>
      </c>
      <c r="E3903" s="2" t="s">
        <v>37</v>
      </c>
      <c r="F3903" s="3">
        <v>42741</v>
      </c>
      <c r="G3903" s="2" t="str">
        <f>"9783319409641"</f>
        <v>9783319409641</v>
      </c>
      <c r="H3903" s="2" t="s">
        <v>14</v>
      </c>
      <c r="I3903" s="4">
        <v>43437.632638888892</v>
      </c>
      <c r="J3903" s="2" t="s">
        <v>7185</v>
      </c>
    </row>
    <row r="3904" spans="1:10" ht="135" x14ac:dyDescent="0.25">
      <c r="A3904" s="2" t="s">
        <v>1008</v>
      </c>
      <c r="B3904" s="2" t="s">
        <v>1981</v>
      </c>
      <c r="C3904" s="2" t="s">
        <v>1982</v>
      </c>
      <c r="D3904" s="2" t="s">
        <v>1980</v>
      </c>
      <c r="E3904" s="2" t="s">
        <v>310</v>
      </c>
      <c r="F3904" s="3">
        <v>43301</v>
      </c>
      <c r="G3904" s="2" t="str">
        <f>"9780815654285"</f>
        <v>9780815654285</v>
      </c>
      <c r="H3904" s="2" t="s">
        <v>14</v>
      </c>
      <c r="I3904" s="4">
        <v>43919.550694444442</v>
      </c>
      <c r="J3904" s="2" t="s">
        <v>1983</v>
      </c>
    </row>
    <row r="3905" spans="1:10" ht="135" x14ac:dyDescent="0.25">
      <c r="A3905" s="2" t="s">
        <v>1008</v>
      </c>
      <c r="B3905" s="2">
        <v>305.800973</v>
      </c>
      <c r="C3905" s="2" t="s">
        <v>619</v>
      </c>
      <c r="D3905" s="2" t="s">
        <v>1612</v>
      </c>
      <c r="E3905" s="2" t="s">
        <v>618</v>
      </c>
      <c r="F3905" s="3">
        <v>39720</v>
      </c>
      <c r="G3905" s="2" t="str">
        <f>"9780230614499"</f>
        <v>9780230614499</v>
      </c>
      <c r="H3905" s="2" t="s">
        <v>14</v>
      </c>
      <c r="I3905" s="4">
        <v>43935.395138888889</v>
      </c>
      <c r="J3905" s="2" t="s">
        <v>1613</v>
      </c>
    </row>
    <row r="3906" spans="1:10" ht="135" x14ac:dyDescent="0.25">
      <c r="A3906" s="2" t="s">
        <v>1008</v>
      </c>
      <c r="B3906" s="2">
        <v>809.923</v>
      </c>
      <c r="C3906" s="2" t="s">
        <v>12006</v>
      </c>
      <c r="D3906" s="2" t="s">
        <v>12004</v>
      </c>
      <c r="E3906" s="2" t="s">
        <v>12005</v>
      </c>
      <c r="F3906" s="3">
        <v>41821</v>
      </c>
      <c r="G3906" s="2" t="str">
        <f>"9780803255333"</f>
        <v>9780803255333</v>
      </c>
      <c r="H3906" s="2" t="s">
        <v>14</v>
      </c>
      <c r="I3906" s="4">
        <v>42863.445833333331</v>
      </c>
      <c r="J3906" s="2" t="s">
        <v>12007</v>
      </c>
    </row>
    <row r="3907" spans="1:10" ht="135" x14ac:dyDescent="0.25">
      <c r="A3907" s="2" t="s">
        <v>1008</v>
      </c>
      <c r="B3907" s="2">
        <v>307.01</v>
      </c>
      <c r="C3907" s="2" t="s">
        <v>11724</v>
      </c>
      <c r="D3907" s="2" t="s">
        <v>11723</v>
      </c>
      <c r="E3907" s="2" t="s">
        <v>674</v>
      </c>
      <c r="F3907" s="3">
        <v>42552</v>
      </c>
      <c r="G3907" s="2" t="str">
        <f>"9780823270941"</f>
        <v>9780823270941</v>
      </c>
      <c r="H3907" s="2" t="s">
        <v>14</v>
      </c>
      <c r="I3907" s="4">
        <v>42906.527777777781</v>
      </c>
      <c r="J3907" s="2" t="s">
        <v>11725</v>
      </c>
    </row>
    <row r="3908" spans="1:10" ht="135" x14ac:dyDescent="0.25">
      <c r="A3908" s="2" t="s">
        <v>1008</v>
      </c>
      <c r="B3908" s="2">
        <v>820.99287090329994</v>
      </c>
      <c r="C3908" s="2" t="s">
        <v>153</v>
      </c>
      <c r="D3908" s="2" t="s">
        <v>1007</v>
      </c>
      <c r="E3908" s="2" t="s">
        <v>17</v>
      </c>
      <c r="F3908" s="3">
        <v>40410</v>
      </c>
      <c r="G3908" s="2" t="str">
        <f>"9780230297012"</f>
        <v>9780230297012</v>
      </c>
      <c r="H3908" s="2" t="s">
        <v>14</v>
      </c>
      <c r="I3908" s="4">
        <v>43969.827777777777</v>
      </c>
      <c r="J3908" s="2" t="s">
        <v>1009</v>
      </c>
    </row>
    <row r="3909" spans="1:10" ht="135" x14ac:dyDescent="0.25">
      <c r="A3909" s="2" t="s">
        <v>1008</v>
      </c>
      <c r="B3909" s="2">
        <v>306.48099999999999</v>
      </c>
      <c r="C3909" s="2" t="s">
        <v>3358</v>
      </c>
      <c r="D3909" s="2" t="s">
        <v>3357</v>
      </c>
      <c r="E3909" s="2" t="s">
        <v>73</v>
      </c>
      <c r="F3909" s="3">
        <v>43774</v>
      </c>
      <c r="G3909" s="2" t="str">
        <f>"9781452962214"</f>
        <v>9781452962214</v>
      </c>
      <c r="H3909" s="2" t="s">
        <v>14</v>
      </c>
      <c r="I3909" s="4">
        <v>43788.374305555553</v>
      </c>
      <c r="J3909" s="2" t="s">
        <v>3359</v>
      </c>
    </row>
    <row r="3910" spans="1:10" ht="165" x14ac:dyDescent="0.25">
      <c r="A3910" s="2" t="s">
        <v>1932</v>
      </c>
      <c r="B3910" s="2" t="s">
        <v>1933</v>
      </c>
      <c r="C3910" s="2" t="s">
        <v>1934</v>
      </c>
      <c r="D3910" s="2" t="s">
        <v>1931</v>
      </c>
      <c r="E3910" s="2" t="s">
        <v>1017</v>
      </c>
      <c r="F3910" s="3">
        <v>43221</v>
      </c>
      <c r="G3910" s="2" t="str">
        <f>"9781640120518"</f>
        <v>9781640120518</v>
      </c>
      <c r="H3910" s="2" t="s">
        <v>14</v>
      </c>
      <c r="I3910" s="4">
        <v>43920.716666666667</v>
      </c>
      <c r="J3910" s="2" t="s">
        <v>1935</v>
      </c>
    </row>
    <row r="3911" spans="1:10" ht="135" x14ac:dyDescent="0.25">
      <c r="A3911" s="2" t="s">
        <v>1932</v>
      </c>
      <c r="B3911" s="2" t="s">
        <v>2574</v>
      </c>
      <c r="C3911" s="2" t="s">
        <v>2575</v>
      </c>
      <c r="D3911" s="2" t="s">
        <v>2573</v>
      </c>
      <c r="E3911" s="2" t="s">
        <v>41</v>
      </c>
      <c r="F3911" s="3">
        <v>43417</v>
      </c>
      <c r="G3911" s="2" t="str">
        <f>"9780817392048"</f>
        <v>9780817392048</v>
      </c>
      <c r="H3911" s="2" t="s">
        <v>14</v>
      </c>
      <c r="I3911" s="4">
        <v>43875.51666666667</v>
      </c>
      <c r="J3911" s="2" t="s">
        <v>2576</v>
      </c>
    </row>
    <row r="3912" spans="1:10" ht="135" x14ac:dyDescent="0.25">
      <c r="A3912" s="2" t="s">
        <v>1932</v>
      </c>
      <c r="B3912" s="2">
        <v>355.00922730000002</v>
      </c>
      <c r="C3912" s="2" t="s">
        <v>3622</v>
      </c>
      <c r="D3912" s="2" t="s">
        <v>3621</v>
      </c>
      <c r="E3912" s="2" t="s">
        <v>156</v>
      </c>
      <c r="F3912" s="3">
        <v>42219</v>
      </c>
      <c r="G3912" s="2" t="str">
        <f>"9781469625508"</f>
        <v>9781469625508</v>
      </c>
      <c r="H3912" s="2" t="s">
        <v>14</v>
      </c>
      <c r="I3912" s="4">
        <v>43770.655555555553</v>
      </c>
      <c r="J3912" s="2" t="s">
        <v>3623</v>
      </c>
    </row>
    <row r="3913" spans="1:10" ht="135" x14ac:dyDescent="0.25">
      <c r="A3913" s="2" t="s">
        <v>1932</v>
      </c>
      <c r="B3913" s="2">
        <v>355.02</v>
      </c>
      <c r="C3913" s="2" t="s">
        <v>12659</v>
      </c>
      <c r="D3913" s="2" t="s">
        <v>12658</v>
      </c>
      <c r="E3913" s="2" t="s">
        <v>674</v>
      </c>
      <c r="F3913" s="3">
        <v>42569</v>
      </c>
      <c r="G3913" s="2" t="str">
        <f>""</f>
        <v/>
      </c>
      <c r="H3913" s="2" t="s">
        <v>14</v>
      </c>
      <c r="I3913" s="4">
        <v>42786.01458333333</v>
      </c>
      <c r="J3913" s="2" t="s">
        <v>12660</v>
      </c>
    </row>
    <row r="3914" spans="1:10" ht="135" x14ac:dyDescent="0.25">
      <c r="A3914" s="2" t="s">
        <v>684</v>
      </c>
      <c r="B3914" s="2">
        <v>305.80009999999999</v>
      </c>
      <c r="C3914" s="2" t="s">
        <v>685</v>
      </c>
      <c r="D3914" s="2" t="s">
        <v>683</v>
      </c>
      <c r="E3914" s="2" t="s">
        <v>216</v>
      </c>
      <c r="F3914" s="3">
        <v>43252</v>
      </c>
      <c r="G3914" s="2" t="str">
        <f>"9781438469973"</f>
        <v>9781438469973</v>
      </c>
      <c r="H3914" s="2" t="s">
        <v>14</v>
      </c>
      <c r="I3914" s="4">
        <v>43999.495833333334</v>
      </c>
      <c r="J3914" s="2" t="s">
        <v>686</v>
      </c>
    </row>
    <row r="3915" spans="1:10" ht="135" x14ac:dyDescent="0.25">
      <c r="A3915" s="2" t="s">
        <v>684</v>
      </c>
      <c r="B3915" s="2">
        <v>142.69999999999999</v>
      </c>
      <c r="C3915" s="2" t="s">
        <v>5326</v>
      </c>
      <c r="D3915" s="2" t="s">
        <v>5325</v>
      </c>
      <c r="E3915" s="2" t="s">
        <v>216</v>
      </c>
      <c r="F3915" s="3">
        <v>42979</v>
      </c>
      <c r="G3915" s="2" t="str">
        <f>"9781438466224"</f>
        <v>9781438466224</v>
      </c>
      <c r="H3915" s="2" t="s">
        <v>14</v>
      </c>
      <c r="I3915" s="4">
        <v>43605.342361111114</v>
      </c>
      <c r="J3915" s="2" t="s">
        <v>5327</v>
      </c>
    </row>
    <row r="3916" spans="1:10" ht="135" x14ac:dyDescent="0.25">
      <c r="A3916" s="2" t="s">
        <v>684</v>
      </c>
      <c r="B3916" s="2">
        <v>303.01</v>
      </c>
      <c r="C3916" s="2" t="s">
        <v>5913</v>
      </c>
      <c r="D3916" s="2" t="s">
        <v>5912</v>
      </c>
      <c r="E3916" s="2" t="s">
        <v>97</v>
      </c>
      <c r="F3916" s="3">
        <v>42402</v>
      </c>
      <c r="G3916" s="2" t="str">
        <f>"9780231540902"</f>
        <v>9780231540902</v>
      </c>
      <c r="H3916" s="2" t="s">
        <v>14</v>
      </c>
      <c r="I3916" s="4">
        <v>43558.604861111111</v>
      </c>
      <c r="J3916" s="2" t="s">
        <v>5914</v>
      </c>
    </row>
    <row r="3917" spans="1:10" ht="135" x14ac:dyDescent="0.25">
      <c r="A3917" s="2" t="s">
        <v>684</v>
      </c>
      <c r="B3917" s="2">
        <v>305.42009999999999</v>
      </c>
      <c r="C3917" s="2" t="s">
        <v>3253</v>
      </c>
      <c r="D3917" s="2" t="s">
        <v>3252</v>
      </c>
      <c r="E3917" s="2" t="s">
        <v>69</v>
      </c>
      <c r="F3917" s="3">
        <v>43017</v>
      </c>
      <c r="G3917" s="2" t="str">
        <f>"9780253030115"</f>
        <v>9780253030115</v>
      </c>
      <c r="H3917" s="2" t="s">
        <v>14</v>
      </c>
      <c r="I3917" s="4">
        <v>43795.520833333336</v>
      </c>
      <c r="J3917" s="2" t="s">
        <v>3254</v>
      </c>
    </row>
    <row r="3918" spans="1:10" ht="135" x14ac:dyDescent="0.25">
      <c r="A3918" s="2" t="s">
        <v>684</v>
      </c>
      <c r="B3918" s="2">
        <v>305.42009999999902</v>
      </c>
      <c r="C3918" s="2" t="s">
        <v>11480</v>
      </c>
      <c r="D3918" s="2" t="s">
        <v>11479</v>
      </c>
      <c r="E3918" s="2" t="s">
        <v>73</v>
      </c>
      <c r="F3918" s="3">
        <v>42675</v>
      </c>
      <c r="G3918" s="2" t="str">
        <f>"9781452952086"</f>
        <v>9781452952086</v>
      </c>
      <c r="H3918" s="2" t="s">
        <v>14</v>
      </c>
      <c r="I3918" s="4">
        <v>42951.548611111109</v>
      </c>
      <c r="J3918" s="2" t="s">
        <v>11481</v>
      </c>
    </row>
    <row r="3919" spans="1:10" ht="135" x14ac:dyDescent="0.25">
      <c r="A3919" s="2" t="s">
        <v>684</v>
      </c>
      <c r="B3919" s="2">
        <v>303.3</v>
      </c>
      <c r="C3919" s="2" t="s">
        <v>7840</v>
      </c>
      <c r="D3919" s="2" t="s">
        <v>7839</v>
      </c>
      <c r="E3919" s="2" t="s">
        <v>216</v>
      </c>
      <c r="F3919" s="3">
        <v>42461</v>
      </c>
      <c r="G3919" s="2" t="str">
        <f>"9781438459578"</f>
        <v>9781438459578</v>
      </c>
      <c r="H3919" s="2" t="s">
        <v>14</v>
      </c>
      <c r="I3919" s="4">
        <v>43384.841666666667</v>
      </c>
      <c r="J3919" s="2" t="s">
        <v>7841</v>
      </c>
    </row>
    <row r="3920" spans="1:10" ht="135" x14ac:dyDescent="0.25">
      <c r="A3920" s="2" t="s">
        <v>684</v>
      </c>
      <c r="B3920" s="2">
        <v>303.48399999999998</v>
      </c>
      <c r="C3920" s="2" t="s">
        <v>2803</v>
      </c>
      <c r="D3920" s="2" t="s">
        <v>9800</v>
      </c>
      <c r="E3920" s="2" t="s">
        <v>260</v>
      </c>
      <c r="F3920" s="3">
        <v>42733</v>
      </c>
      <c r="G3920" s="2" t="str">
        <f>"9781439913055"</f>
        <v>9781439913055</v>
      </c>
      <c r="H3920" s="2" t="s">
        <v>14</v>
      </c>
      <c r="I3920" s="4">
        <v>43128.913194444445</v>
      </c>
      <c r="J3920" s="2" t="s">
        <v>9801</v>
      </c>
    </row>
    <row r="3921" spans="1:10" ht="135" x14ac:dyDescent="0.25">
      <c r="A3921" s="2" t="s">
        <v>713</v>
      </c>
      <c r="B3921" s="2">
        <v>304.80959999999999</v>
      </c>
      <c r="C3921" s="2" t="s">
        <v>7447</v>
      </c>
      <c r="D3921" s="2" t="s">
        <v>7446</v>
      </c>
      <c r="E3921" s="2" t="s">
        <v>69</v>
      </c>
      <c r="F3921" s="3">
        <v>43353</v>
      </c>
      <c r="G3921" s="2" t="str">
        <f>"9780253038111"</f>
        <v>9780253038111</v>
      </c>
      <c r="H3921" s="2" t="s">
        <v>14</v>
      </c>
      <c r="I3921" s="4">
        <v>43416.068749999999</v>
      </c>
      <c r="J3921" s="2" t="s">
        <v>7448</v>
      </c>
    </row>
    <row r="3922" spans="1:10" ht="135" x14ac:dyDescent="0.25">
      <c r="A3922" s="2" t="s">
        <v>713</v>
      </c>
      <c r="B3922" s="2" t="s">
        <v>5036</v>
      </c>
      <c r="C3922" s="2" t="s">
        <v>5037</v>
      </c>
      <c r="D3922" s="2" t="s">
        <v>5035</v>
      </c>
      <c r="E3922" s="2" t="s">
        <v>73</v>
      </c>
      <c r="F3922" s="3">
        <v>42440</v>
      </c>
      <c r="G3922" s="2" t="str">
        <f>"9781452950105"</f>
        <v>9781452950105</v>
      </c>
      <c r="H3922" s="2" t="s">
        <v>14</v>
      </c>
      <c r="I3922" s="4">
        <v>43611.727083333331</v>
      </c>
      <c r="J3922" s="2" t="s">
        <v>5038</v>
      </c>
    </row>
    <row r="3923" spans="1:10" ht="150" x14ac:dyDescent="0.25">
      <c r="A3923" s="2" t="s">
        <v>713</v>
      </c>
      <c r="B3923" s="2">
        <v>323.32639999999998</v>
      </c>
      <c r="C3923" s="2" t="s">
        <v>3793</v>
      </c>
      <c r="D3923" s="2" t="s">
        <v>3792</v>
      </c>
      <c r="E3923" s="2" t="s">
        <v>216</v>
      </c>
      <c r="F3923" s="3">
        <v>43252</v>
      </c>
      <c r="G3923" s="2" t="str">
        <f>"9781438470153"</f>
        <v>9781438470153</v>
      </c>
      <c r="H3923" s="2" t="s">
        <v>14</v>
      </c>
      <c r="I3923" s="4">
        <v>43754.82708333333</v>
      </c>
      <c r="J3923" s="2" t="s">
        <v>3794</v>
      </c>
    </row>
    <row r="3924" spans="1:10" ht="135" x14ac:dyDescent="0.25">
      <c r="A3924" s="2" t="s">
        <v>713</v>
      </c>
      <c r="B3924" s="2" t="s">
        <v>8016</v>
      </c>
      <c r="C3924" s="2" t="s">
        <v>8017</v>
      </c>
      <c r="D3924" s="2" t="s">
        <v>8015</v>
      </c>
      <c r="E3924" s="2" t="s">
        <v>54</v>
      </c>
      <c r="F3924" s="3">
        <v>42976</v>
      </c>
      <c r="G3924" s="2" t="str">
        <f>"9781503602953"</f>
        <v>9781503602953</v>
      </c>
      <c r="H3924" s="2" t="s">
        <v>14</v>
      </c>
      <c r="I3924" s="4">
        <v>43364.34375</v>
      </c>
      <c r="J3924" s="2" t="s">
        <v>8018</v>
      </c>
    </row>
    <row r="3925" spans="1:10" ht="135" x14ac:dyDescent="0.25">
      <c r="A3925" s="2" t="s">
        <v>713</v>
      </c>
      <c r="B3925" s="2">
        <v>304.82095099999998</v>
      </c>
      <c r="C3925" s="2" t="s">
        <v>3026</v>
      </c>
      <c r="D3925" s="2" t="s">
        <v>3025</v>
      </c>
      <c r="E3925" s="2" t="s">
        <v>54</v>
      </c>
      <c r="F3925" s="3">
        <v>43452</v>
      </c>
      <c r="G3925" s="2" t="str">
        <f>"9781503607460"</f>
        <v>9781503607460</v>
      </c>
      <c r="H3925" s="2" t="s">
        <v>14</v>
      </c>
      <c r="I3925" s="4">
        <v>43829.79791666667</v>
      </c>
      <c r="J3925" s="2" t="s">
        <v>3027</v>
      </c>
    </row>
    <row r="3926" spans="1:10" ht="135" x14ac:dyDescent="0.25">
      <c r="A3926" s="2" t="s">
        <v>713</v>
      </c>
      <c r="B3926" s="2">
        <v>300.95800000000003</v>
      </c>
      <c r="C3926" s="2" t="s">
        <v>12306</v>
      </c>
      <c r="D3926" s="2" t="s">
        <v>12305</v>
      </c>
      <c r="E3926" s="2" t="s">
        <v>4660</v>
      </c>
      <c r="F3926" s="3">
        <v>42006</v>
      </c>
      <c r="G3926" s="2" t="str">
        <f>"9780813150789"</f>
        <v>9780813150789</v>
      </c>
      <c r="H3926" s="2" t="s">
        <v>14</v>
      </c>
      <c r="I3926" s="4">
        <v>42816.747916666667</v>
      </c>
      <c r="J3926" s="2" t="s">
        <v>12307</v>
      </c>
    </row>
    <row r="3927" spans="1:10" ht="135" x14ac:dyDescent="0.25">
      <c r="A3927" s="2" t="s">
        <v>713</v>
      </c>
      <c r="B3927" s="2" t="s">
        <v>5853</v>
      </c>
      <c r="C3927" s="2" t="s">
        <v>5854</v>
      </c>
      <c r="D3927" s="2" t="s">
        <v>5852</v>
      </c>
      <c r="E3927" s="2" t="s">
        <v>164</v>
      </c>
      <c r="F3927" s="3">
        <v>42870</v>
      </c>
      <c r="G3927" s="2" t="str">
        <f>"9780826358264"</f>
        <v>9780826358264</v>
      </c>
      <c r="H3927" s="2" t="s">
        <v>14</v>
      </c>
      <c r="I3927" s="4">
        <v>43564.952777777777</v>
      </c>
      <c r="J3927" s="2" t="s">
        <v>5855</v>
      </c>
    </row>
    <row r="3928" spans="1:10" ht="135" x14ac:dyDescent="0.25">
      <c r="A3928" s="2" t="s">
        <v>713</v>
      </c>
      <c r="B3928" s="2">
        <v>306.2</v>
      </c>
      <c r="C3928" s="2" t="s">
        <v>3965</v>
      </c>
      <c r="D3928" s="2" t="s">
        <v>3964</v>
      </c>
      <c r="E3928" s="2" t="s">
        <v>268</v>
      </c>
      <c r="F3928" s="3">
        <v>43732</v>
      </c>
      <c r="G3928" s="2" t="str">
        <f>"9780815737223"</f>
        <v>9780815737223</v>
      </c>
      <c r="H3928" s="2" t="s">
        <v>14</v>
      </c>
      <c r="I3928" s="4">
        <v>43734.86041666667</v>
      </c>
      <c r="J3928" s="2" t="s">
        <v>3966</v>
      </c>
    </row>
    <row r="3929" spans="1:10" ht="150" x14ac:dyDescent="0.25">
      <c r="A3929" s="2" t="s">
        <v>713</v>
      </c>
      <c r="B3929" s="2" t="s">
        <v>7187</v>
      </c>
      <c r="C3929" s="2" t="s">
        <v>7188</v>
      </c>
      <c r="D3929" s="2" t="s">
        <v>7186</v>
      </c>
      <c r="E3929" s="2" t="s">
        <v>130</v>
      </c>
      <c r="F3929" s="3">
        <v>42185</v>
      </c>
      <c r="G3929" s="2" t="str">
        <f>"9780813055299"</f>
        <v>9780813055299</v>
      </c>
      <c r="H3929" s="2" t="s">
        <v>14</v>
      </c>
      <c r="I3929" s="4">
        <v>43436.884027777778</v>
      </c>
      <c r="J3929" s="2" t="s">
        <v>7189</v>
      </c>
    </row>
    <row r="3930" spans="1:10" ht="135" x14ac:dyDescent="0.25">
      <c r="A3930" s="2" t="s">
        <v>713</v>
      </c>
      <c r="B3930" s="2">
        <v>320.94</v>
      </c>
      <c r="C3930" s="2" t="s">
        <v>3607</v>
      </c>
      <c r="D3930" s="2" t="s">
        <v>3605</v>
      </c>
      <c r="E3930" s="2" t="s">
        <v>3606</v>
      </c>
      <c r="F3930" s="3">
        <v>42555</v>
      </c>
      <c r="G3930" s="2" t="str">
        <f>"9781608466580"</f>
        <v>9781608466580</v>
      </c>
      <c r="H3930" s="2" t="s">
        <v>14</v>
      </c>
      <c r="I3930" s="4">
        <v>43772.578472222223</v>
      </c>
      <c r="J3930" s="2" t="s">
        <v>3608</v>
      </c>
    </row>
    <row r="3931" spans="1:10" ht="135" x14ac:dyDescent="0.25">
      <c r="A3931" s="2" t="s">
        <v>713</v>
      </c>
      <c r="B3931" s="2">
        <v>305.90691409679999</v>
      </c>
      <c r="C3931" s="2" t="s">
        <v>265</v>
      </c>
      <c r="D3931" s="2" t="s">
        <v>5248</v>
      </c>
      <c r="E3931" s="2" t="s">
        <v>37</v>
      </c>
      <c r="F3931" s="3">
        <v>42940</v>
      </c>
      <c r="G3931" s="2" t="str">
        <f>"9783319532769"</f>
        <v>9783319532769</v>
      </c>
      <c r="H3931" s="2" t="s">
        <v>14</v>
      </c>
      <c r="I3931" s="4">
        <v>43606.640972222223</v>
      </c>
      <c r="J3931" s="2" t="s">
        <v>5249</v>
      </c>
    </row>
    <row r="3932" spans="1:10" ht="195" x14ac:dyDescent="0.25">
      <c r="A3932" s="2" t="s">
        <v>713</v>
      </c>
      <c r="B3932" s="2" t="s">
        <v>5036</v>
      </c>
      <c r="C3932" s="2" t="s">
        <v>12464</v>
      </c>
      <c r="D3932" s="2" t="s">
        <v>12463</v>
      </c>
      <c r="E3932" s="2" t="s">
        <v>578</v>
      </c>
      <c r="F3932" s="3">
        <v>42536</v>
      </c>
      <c r="G3932" s="2" t="str">
        <f>"9780252099236"</f>
        <v>9780252099236</v>
      </c>
      <c r="H3932" s="2" t="s">
        <v>14</v>
      </c>
      <c r="I3932" s="4">
        <v>42804.29791666667</v>
      </c>
      <c r="J3932" s="2" t="s">
        <v>12465</v>
      </c>
    </row>
    <row r="3933" spans="1:10" ht="135" x14ac:dyDescent="0.25">
      <c r="A3933" s="2" t="s">
        <v>713</v>
      </c>
      <c r="B3933" s="2">
        <v>300.95999999999998</v>
      </c>
      <c r="C3933" s="2" t="s">
        <v>4062</v>
      </c>
      <c r="D3933" s="2" t="s">
        <v>4061</v>
      </c>
      <c r="E3933" s="2" t="s">
        <v>2783</v>
      </c>
      <c r="F3933" s="3">
        <v>43067</v>
      </c>
      <c r="G3933" s="2" t="str">
        <f>"9783905758962"</f>
        <v>9783905758962</v>
      </c>
      <c r="H3933" s="2" t="s">
        <v>14</v>
      </c>
      <c r="I3933" s="4">
        <v>43719.175694444442</v>
      </c>
      <c r="J3933" s="2" t="s">
        <v>4063</v>
      </c>
    </row>
    <row r="3934" spans="1:10" ht="135" x14ac:dyDescent="0.25">
      <c r="A3934" s="2" t="s">
        <v>713</v>
      </c>
      <c r="B3934" s="2">
        <v>305.8</v>
      </c>
      <c r="C3934" s="2" t="s">
        <v>8632</v>
      </c>
      <c r="D3934" s="2" t="s">
        <v>8631</v>
      </c>
      <c r="E3934" s="2" t="s">
        <v>80</v>
      </c>
      <c r="F3934" s="3">
        <v>41845</v>
      </c>
      <c r="G3934" s="2" t="str">
        <f>"9783035264425"</f>
        <v>9783035264425</v>
      </c>
      <c r="H3934" s="2" t="s">
        <v>14</v>
      </c>
      <c r="I3934" s="4">
        <v>43281.645833333336</v>
      </c>
      <c r="J3934" s="2" t="s">
        <v>8633</v>
      </c>
    </row>
    <row r="3935" spans="1:10" ht="150" x14ac:dyDescent="0.25">
      <c r="A3935" s="2" t="s">
        <v>713</v>
      </c>
      <c r="B3935" s="2">
        <v>364.13230947</v>
      </c>
      <c r="C3935" s="2" t="s">
        <v>8526</v>
      </c>
      <c r="D3935" s="2" t="s">
        <v>8525</v>
      </c>
      <c r="E3935" s="2" t="s">
        <v>216</v>
      </c>
      <c r="F3935" s="3">
        <v>42705</v>
      </c>
      <c r="G3935" s="2" t="str">
        <f>"9781438462653"</f>
        <v>9781438462653</v>
      </c>
      <c r="H3935" s="2" t="s">
        <v>14</v>
      </c>
      <c r="I3935" s="4">
        <v>43295.893750000003</v>
      </c>
      <c r="J3935" s="2" t="s">
        <v>8527</v>
      </c>
    </row>
    <row r="3936" spans="1:10" ht="135" x14ac:dyDescent="0.25">
      <c r="A3936" s="2" t="s">
        <v>713</v>
      </c>
      <c r="B3936" s="2">
        <v>306.20943799999998</v>
      </c>
      <c r="C3936" s="2" t="s">
        <v>5685</v>
      </c>
      <c r="D3936" s="2" t="s">
        <v>5684</v>
      </c>
      <c r="E3936" s="2" t="s">
        <v>627</v>
      </c>
      <c r="F3936" s="3">
        <v>43405</v>
      </c>
      <c r="G3936" s="2" t="str">
        <f>"9789637326554"</f>
        <v>9789637326554</v>
      </c>
      <c r="H3936" s="2" t="s">
        <v>14</v>
      </c>
      <c r="I3936" s="4">
        <v>43580.647222222222</v>
      </c>
      <c r="J3936" s="2" t="s">
        <v>5686</v>
      </c>
    </row>
    <row r="3937" spans="1:10" ht="135" x14ac:dyDescent="0.25">
      <c r="A3937" s="2" t="s">
        <v>713</v>
      </c>
      <c r="B3937" s="2" t="s">
        <v>12680</v>
      </c>
      <c r="C3937" s="2" t="s">
        <v>12681</v>
      </c>
      <c r="D3937" s="2" t="s">
        <v>12679</v>
      </c>
      <c r="E3937" s="2" t="s">
        <v>5954</v>
      </c>
      <c r="F3937" s="3">
        <v>42590</v>
      </c>
      <c r="G3937" s="2" t="str">
        <f>"9781607324690"</f>
        <v>9781607324690</v>
      </c>
      <c r="H3937" s="2" t="s">
        <v>14</v>
      </c>
      <c r="I3937" s="4">
        <v>42783.619444444441</v>
      </c>
      <c r="J3937" s="2" t="s">
        <v>12682</v>
      </c>
    </row>
    <row r="3938" spans="1:10" ht="135" x14ac:dyDescent="0.25">
      <c r="A3938" s="2" t="s">
        <v>713</v>
      </c>
      <c r="B3938" s="2">
        <v>305.90691209560998</v>
      </c>
      <c r="C3938" s="2" t="s">
        <v>714</v>
      </c>
      <c r="D3938" s="2" t="s">
        <v>712</v>
      </c>
      <c r="E3938" s="2" t="s">
        <v>54</v>
      </c>
      <c r="F3938" s="3">
        <v>43697</v>
      </c>
      <c r="G3938" s="2" t="str">
        <f>"9781503609440"</f>
        <v>9781503609440</v>
      </c>
      <c r="H3938" s="2" t="s">
        <v>14</v>
      </c>
      <c r="I3938" s="4">
        <v>43997.377083333333</v>
      </c>
      <c r="J3938" s="2" t="s">
        <v>715</v>
      </c>
    </row>
    <row r="3939" spans="1:10" ht="135" x14ac:dyDescent="0.25">
      <c r="A3939" s="2" t="s">
        <v>713</v>
      </c>
      <c r="B3939" s="2">
        <v>324.97300000000001</v>
      </c>
      <c r="C3939" s="2" t="s">
        <v>153</v>
      </c>
      <c r="D3939" s="2" t="s">
        <v>9913</v>
      </c>
      <c r="E3939" s="2" t="s">
        <v>84</v>
      </c>
      <c r="F3939" s="3">
        <v>42447</v>
      </c>
      <c r="G3939" s="2" t="str">
        <f>"9789401774871"</f>
        <v>9789401774871</v>
      </c>
      <c r="H3939" s="2" t="s">
        <v>14</v>
      </c>
      <c r="I3939" s="4">
        <v>43120.544444444444</v>
      </c>
      <c r="J3939" s="2" t="s">
        <v>9914</v>
      </c>
    </row>
    <row r="3940" spans="1:10" ht="135" x14ac:dyDescent="0.25">
      <c r="A3940" s="2" t="s">
        <v>713</v>
      </c>
      <c r="B3940" s="2">
        <v>303.60000000000002</v>
      </c>
      <c r="C3940" s="2" t="s">
        <v>6511</v>
      </c>
      <c r="D3940" s="2" t="s">
        <v>6510</v>
      </c>
      <c r="E3940" s="2" t="s">
        <v>216</v>
      </c>
      <c r="F3940" s="3">
        <v>43040</v>
      </c>
      <c r="G3940" s="2" t="str">
        <f>"9781438466774"</f>
        <v>9781438466774</v>
      </c>
      <c r="H3940" s="2" t="s">
        <v>14</v>
      </c>
      <c r="I3940" s="4">
        <v>43511.645138888889</v>
      </c>
      <c r="J3940" s="2" t="s">
        <v>6512</v>
      </c>
    </row>
    <row r="3941" spans="1:10" ht="135" x14ac:dyDescent="0.25">
      <c r="A3941" s="2" t="s">
        <v>713</v>
      </c>
      <c r="B3941" s="2">
        <v>320.97300000000001</v>
      </c>
      <c r="C3941" s="2" t="s">
        <v>3187</v>
      </c>
      <c r="D3941" s="2" t="s">
        <v>3186</v>
      </c>
      <c r="E3941" s="2" t="s">
        <v>499</v>
      </c>
      <c r="F3941" s="3">
        <v>42599</v>
      </c>
      <c r="G3941" s="2" t="str">
        <f>"9781626161450"</f>
        <v>9781626161450</v>
      </c>
      <c r="H3941" s="2" t="s">
        <v>14</v>
      </c>
      <c r="I3941" s="4">
        <v>43801.424305555556</v>
      </c>
      <c r="J3941" s="2" t="s">
        <v>3188</v>
      </c>
    </row>
    <row r="3942" spans="1:10" ht="165" x14ac:dyDescent="0.25">
      <c r="A3942" s="2" t="s">
        <v>713</v>
      </c>
      <c r="B3942" s="2" t="s">
        <v>4575</v>
      </c>
      <c r="C3942" s="2" t="s">
        <v>4576</v>
      </c>
      <c r="D3942" s="2" t="s">
        <v>4574</v>
      </c>
      <c r="E3942" s="2" t="s">
        <v>216</v>
      </c>
      <c r="F3942" s="3">
        <v>41640</v>
      </c>
      <c r="G3942" s="2" t="str">
        <f>"9781438449302"</f>
        <v>9781438449302</v>
      </c>
      <c r="H3942" s="2" t="s">
        <v>14</v>
      </c>
      <c r="I3942" s="4">
        <v>43647.868055555555</v>
      </c>
      <c r="J3942" s="2" t="s">
        <v>4577</v>
      </c>
    </row>
    <row r="3943" spans="1:10" ht="135" x14ac:dyDescent="0.25">
      <c r="A3943" s="2" t="s">
        <v>713</v>
      </c>
      <c r="B3943" s="2" t="s">
        <v>7640</v>
      </c>
      <c r="C3943" s="2" t="s">
        <v>9600</v>
      </c>
      <c r="D3943" s="2" t="s">
        <v>9599</v>
      </c>
      <c r="E3943" s="2" t="s">
        <v>54</v>
      </c>
      <c r="F3943" s="3">
        <v>42305</v>
      </c>
      <c r="G3943" s="2" t="str">
        <f>"9780804796705"</f>
        <v>9780804796705</v>
      </c>
      <c r="H3943" s="2" t="s">
        <v>14</v>
      </c>
      <c r="I3943" s="4">
        <v>43147.876388888886</v>
      </c>
      <c r="J3943" s="2" t="s">
        <v>9601</v>
      </c>
    </row>
    <row r="3944" spans="1:10" ht="135" x14ac:dyDescent="0.25">
      <c r="A3944" s="2" t="s">
        <v>713</v>
      </c>
      <c r="B3944" s="2">
        <v>305.80096689999999</v>
      </c>
      <c r="C3944" s="2" t="s">
        <v>265</v>
      </c>
      <c r="D3944" s="2" t="s">
        <v>11733</v>
      </c>
      <c r="E3944" s="2" t="s">
        <v>8755</v>
      </c>
      <c r="F3944" s="3">
        <v>42510</v>
      </c>
      <c r="G3944" s="2" t="str">
        <f>"9783658134839"</f>
        <v>9783658134839</v>
      </c>
      <c r="H3944" s="2" t="s">
        <v>14</v>
      </c>
      <c r="I3944" s="4">
        <v>42904.581944444442</v>
      </c>
      <c r="J3944" s="2" t="s">
        <v>11734</v>
      </c>
    </row>
    <row r="3945" spans="1:10" ht="165" x14ac:dyDescent="0.25">
      <c r="A3945" s="2" t="s">
        <v>713</v>
      </c>
      <c r="B3945" s="2">
        <v>327.17</v>
      </c>
      <c r="C3945" s="2" t="s">
        <v>10637</v>
      </c>
      <c r="D3945" s="2" t="s">
        <v>10636</v>
      </c>
      <c r="E3945" s="2" t="s">
        <v>80</v>
      </c>
      <c r="F3945" s="3">
        <v>41892</v>
      </c>
      <c r="G3945" s="2" t="str">
        <f>"9783035264388"</f>
        <v>9783035264388</v>
      </c>
      <c r="H3945" s="2" t="s">
        <v>14</v>
      </c>
      <c r="I3945" s="4">
        <v>43045.508333333331</v>
      </c>
      <c r="J3945" s="2" t="s">
        <v>10638</v>
      </c>
    </row>
    <row r="3946" spans="1:10" ht="165" x14ac:dyDescent="0.25">
      <c r="A3946" s="2" t="s">
        <v>713</v>
      </c>
      <c r="B3946" s="2">
        <v>323.09761781090401</v>
      </c>
      <c r="C3946" s="2" t="s">
        <v>153</v>
      </c>
      <c r="D3946" s="2" t="s">
        <v>5338</v>
      </c>
      <c r="E3946" s="2" t="s">
        <v>37</v>
      </c>
      <c r="F3946" s="3">
        <v>42691</v>
      </c>
      <c r="G3946" s="2" t="str">
        <f>"9783319471365"</f>
        <v>9783319471365</v>
      </c>
      <c r="H3946" s="2" t="s">
        <v>14</v>
      </c>
      <c r="I3946" s="4">
        <v>43604.63958333333</v>
      </c>
      <c r="J3946" s="2" t="s">
        <v>5339</v>
      </c>
    </row>
    <row r="3947" spans="1:10" ht="135" x14ac:dyDescent="0.25">
      <c r="A3947" s="2" t="s">
        <v>3209</v>
      </c>
      <c r="B3947" s="2">
        <v>305</v>
      </c>
      <c r="C3947" s="2" t="s">
        <v>3210</v>
      </c>
      <c r="D3947" s="2" t="s">
        <v>3208</v>
      </c>
      <c r="E3947" s="2" t="s">
        <v>216</v>
      </c>
      <c r="F3947" s="3">
        <v>43709</v>
      </c>
      <c r="G3947" s="2" t="str">
        <f>"9781438475899"</f>
        <v>9781438475899</v>
      </c>
      <c r="H3947" s="2" t="s">
        <v>14</v>
      </c>
      <c r="I3947" s="4">
        <v>43798.509027777778</v>
      </c>
      <c r="J3947" s="2" t="s">
        <v>3211</v>
      </c>
    </row>
    <row r="3948" spans="1:10" ht="165" x14ac:dyDescent="0.25">
      <c r="A3948" s="2" t="s">
        <v>3209</v>
      </c>
      <c r="B3948" s="2">
        <v>305</v>
      </c>
      <c r="C3948" s="2" t="s">
        <v>931</v>
      </c>
      <c r="D3948" s="2" t="s">
        <v>12835</v>
      </c>
      <c r="E3948" s="2" t="s">
        <v>37</v>
      </c>
      <c r="F3948" s="3">
        <v>42550</v>
      </c>
      <c r="G3948" s="2" t="str">
        <f>"9783319298696"</f>
        <v>9783319298696</v>
      </c>
      <c r="H3948" s="2" t="s">
        <v>14</v>
      </c>
      <c r="I3948" s="4">
        <v>42769.677083333336</v>
      </c>
      <c r="J3948" s="2" t="s">
        <v>12836</v>
      </c>
    </row>
    <row r="3949" spans="1:10" ht="135" x14ac:dyDescent="0.25">
      <c r="A3949" s="2" t="s">
        <v>205</v>
      </c>
      <c r="B3949" s="2">
        <v>364.15</v>
      </c>
      <c r="C3949" s="2" t="s">
        <v>1911</v>
      </c>
      <c r="D3949" s="2" t="s">
        <v>1910</v>
      </c>
      <c r="E3949" s="2" t="s">
        <v>11</v>
      </c>
      <c r="F3949" s="3">
        <v>42619</v>
      </c>
      <c r="G3949" s="2" t="str">
        <f>"9780813228389"</f>
        <v>9780813228389</v>
      </c>
      <c r="H3949" s="2" t="s">
        <v>14</v>
      </c>
      <c r="I3949" s="4">
        <v>43921.703472222223</v>
      </c>
      <c r="J3949" s="2" t="s">
        <v>1912</v>
      </c>
    </row>
    <row r="3950" spans="1:10" ht="165" x14ac:dyDescent="0.25">
      <c r="A3950" s="2" t="s">
        <v>205</v>
      </c>
      <c r="B3950" s="2">
        <v>305.48697094280999</v>
      </c>
      <c r="C3950" s="2" t="s">
        <v>1632</v>
      </c>
      <c r="D3950" s="2" t="s">
        <v>3741</v>
      </c>
      <c r="E3950" s="2" t="s">
        <v>37</v>
      </c>
      <c r="F3950" s="3">
        <v>42773</v>
      </c>
      <c r="G3950" s="2" t="str">
        <f>"9783319440514"</f>
        <v>9783319440514</v>
      </c>
      <c r="H3950" s="2" t="s">
        <v>14</v>
      </c>
      <c r="I3950" s="4">
        <v>43760.450694444444</v>
      </c>
      <c r="J3950" s="2" t="s">
        <v>3742</v>
      </c>
    </row>
    <row r="3951" spans="1:10" ht="135" x14ac:dyDescent="0.25">
      <c r="A3951" s="2" t="s">
        <v>205</v>
      </c>
      <c r="B3951" s="2" t="s">
        <v>4246</v>
      </c>
      <c r="C3951" s="2" t="s">
        <v>4247</v>
      </c>
      <c r="D3951" s="2" t="s">
        <v>4245</v>
      </c>
      <c r="E3951" s="2" t="s">
        <v>28</v>
      </c>
      <c r="F3951" s="3">
        <v>41785</v>
      </c>
      <c r="G3951" s="2" t="str">
        <f>"9780823257874"</f>
        <v>9780823257874</v>
      </c>
      <c r="H3951" s="2" t="s">
        <v>14</v>
      </c>
      <c r="I3951" s="4">
        <v>43689.925694444442</v>
      </c>
      <c r="J3951" s="2" t="s">
        <v>4248</v>
      </c>
    </row>
    <row r="3952" spans="1:10" ht="135" x14ac:dyDescent="0.25">
      <c r="A3952" s="2" t="s">
        <v>205</v>
      </c>
      <c r="B3952" s="2" t="s">
        <v>5210</v>
      </c>
      <c r="C3952" s="2" t="s">
        <v>5211</v>
      </c>
      <c r="D3952" s="2" t="s">
        <v>5209</v>
      </c>
      <c r="E3952" s="2" t="s">
        <v>156</v>
      </c>
      <c r="F3952" s="3">
        <v>41744</v>
      </c>
      <c r="G3952" s="2" t="str">
        <f>"9781469615493"</f>
        <v>9781469615493</v>
      </c>
      <c r="H3952" s="2" t="s">
        <v>14</v>
      </c>
      <c r="I3952" s="4">
        <v>43607.786805555559</v>
      </c>
      <c r="J3952" s="2" t="s">
        <v>5212</v>
      </c>
    </row>
    <row r="3953" spans="1:10" ht="135" x14ac:dyDescent="0.25">
      <c r="A3953" s="2" t="s">
        <v>205</v>
      </c>
      <c r="B3953" s="2">
        <v>305.80009999999999</v>
      </c>
      <c r="C3953" s="2" t="s">
        <v>3352</v>
      </c>
      <c r="D3953" s="2" t="s">
        <v>3351</v>
      </c>
      <c r="E3953" s="2" t="s">
        <v>54</v>
      </c>
      <c r="F3953" s="3">
        <v>43109</v>
      </c>
      <c r="G3953" s="2" t="str">
        <f>"9781503604377"</f>
        <v>9781503604377</v>
      </c>
      <c r="H3953" s="2" t="s">
        <v>14</v>
      </c>
      <c r="I3953" s="4">
        <v>43788.522916666669</v>
      </c>
      <c r="J3953" s="2" t="s">
        <v>3353</v>
      </c>
    </row>
    <row r="3954" spans="1:10" ht="135" x14ac:dyDescent="0.25">
      <c r="A3954" s="2" t="s">
        <v>205</v>
      </c>
      <c r="B3954" s="2" t="s">
        <v>4172</v>
      </c>
      <c r="C3954" s="2" t="s">
        <v>4173</v>
      </c>
      <c r="D3954" s="2" t="s">
        <v>4171</v>
      </c>
      <c r="E3954" s="2" t="s">
        <v>130</v>
      </c>
      <c r="F3954" s="3">
        <v>42073</v>
      </c>
      <c r="G3954" s="2" t="str">
        <f>"9780813055077"</f>
        <v>9780813055077</v>
      </c>
      <c r="H3954" s="2" t="s">
        <v>14</v>
      </c>
      <c r="I3954" s="4">
        <v>43702.673611111109</v>
      </c>
      <c r="J3954" s="2" t="s">
        <v>4174</v>
      </c>
    </row>
    <row r="3955" spans="1:10" ht="135" x14ac:dyDescent="0.25">
      <c r="A3955" s="2" t="s">
        <v>205</v>
      </c>
      <c r="B3955" s="2" t="s">
        <v>942</v>
      </c>
      <c r="C3955" s="2" t="s">
        <v>943</v>
      </c>
      <c r="D3955" s="2" t="s">
        <v>941</v>
      </c>
      <c r="E3955" s="2" t="s">
        <v>69</v>
      </c>
      <c r="F3955" s="3">
        <v>43479</v>
      </c>
      <c r="G3955" s="2" t="str">
        <f>"9780253037411"</f>
        <v>9780253037411</v>
      </c>
      <c r="H3955" s="2" t="s">
        <v>14</v>
      </c>
      <c r="I3955" s="4">
        <v>43973.87777777778</v>
      </c>
      <c r="J3955" s="2" t="s">
        <v>944</v>
      </c>
    </row>
    <row r="3956" spans="1:10" ht="135" x14ac:dyDescent="0.25">
      <c r="A3956" s="2" t="s">
        <v>205</v>
      </c>
      <c r="B3956" s="2">
        <v>261.85095999999999</v>
      </c>
      <c r="C3956" s="2" t="s">
        <v>153</v>
      </c>
      <c r="D3956" s="2" t="s">
        <v>204</v>
      </c>
      <c r="E3956" s="2" t="s">
        <v>17</v>
      </c>
      <c r="F3956" s="3">
        <v>41155</v>
      </c>
      <c r="G3956" s="2" t="str">
        <f>"9781137017253"</f>
        <v>9781137017253</v>
      </c>
      <c r="H3956" s="2" t="s">
        <v>14</v>
      </c>
      <c r="I3956" s="4">
        <v>44060.538888888892</v>
      </c>
      <c r="J3956" s="2" t="s">
        <v>206</v>
      </c>
    </row>
    <row r="3957" spans="1:10" ht="135" x14ac:dyDescent="0.25">
      <c r="A3957" s="2" t="s">
        <v>205</v>
      </c>
      <c r="B3957" s="2">
        <v>297.28199999999998</v>
      </c>
      <c r="C3957" s="2" t="s">
        <v>153</v>
      </c>
      <c r="D3957" s="2" t="s">
        <v>9169</v>
      </c>
      <c r="E3957" s="2" t="s">
        <v>37</v>
      </c>
      <c r="F3957" s="3">
        <v>42082</v>
      </c>
      <c r="G3957" s="2" t="str">
        <f>"9783319155487"</f>
        <v>9783319155487</v>
      </c>
      <c r="H3957" s="2" t="s">
        <v>14</v>
      </c>
      <c r="I3957" s="4">
        <v>43203.652083333334</v>
      </c>
      <c r="J3957" s="2" t="s">
        <v>9170</v>
      </c>
    </row>
    <row r="3958" spans="1:10" ht="150" x14ac:dyDescent="0.25">
      <c r="A3958" s="2" t="s">
        <v>205</v>
      </c>
      <c r="B3958" s="2">
        <v>305.89240469999999</v>
      </c>
      <c r="C3958" s="2" t="s">
        <v>9769</v>
      </c>
      <c r="D3958" s="2" t="s">
        <v>9768</v>
      </c>
      <c r="E3958" s="2" t="s">
        <v>69</v>
      </c>
      <c r="F3958" s="3">
        <v>42928</v>
      </c>
      <c r="G3958" s="2" t="str">
        <f>"9780253026576"</f>
        <v>9780253026576</v>
      </c>
      <c r="H3958" s="2" t="s">
        <v>14</v>
      </c>
      <c r="I3958" s="4">
        <v>43131.125</v>
      </c>
      <c r="J3958" s="2" t="s">
        <v>9770</v>
      </c>
    </row>
    <row r="3959" spans="1:10" ht="135" x14ac:dyDescent="0.25">
      <c r="A3959" s="2" t="s">
        <v>205</v>
      </c>
      <c r="B3959" s="2">
        <v>201.7</v>
      </c>
      <c r="C3959" s="2" t="s">
        <v>153</v>
      </c>
      <c r="D3959" s="2" t="s">
        <v>8754</v>
      </c>
      <c r="E3959" s="2" t="s">
        <v>8755</v>
      </c>
      <c r="F3959" s="3">
        <v>42486</v>
      </c>
      <c r="G3959" s="2" t="str">
        <f>"9783658116637"</f>
        <v>9783658116637</v>
      </c>
      <c r="H3959" s="2" t="s">
        <v>14</v>
      </c>
      <c r="I3959" s="4">
        <v>43257.584027777775</v>
      </c>
      <c r="J3959" s="2" t="s">
        <v>8756</v>
      </c>
    </row>
    <row r="3960" spans="1:10" ht="135" x14ac:dyDescent="0.25">
      <c r="A3960" s="2" t="s">
        <v>205</v>
      </c>
      <c r="B3960" s="2">
        <v>305.48696999999999</v>
      </c>
      <c r="C3960" s="2" t="s">
        <v>10242</v>
      </c>
      <c r="D3960" s="2" t="s">
        <v>10241</v>
      </c>
      <c r="E3960" s="2" t="s">
        <v>328</v>
      </c>
      <c r="F3960" s="3">
        <v>41780</v>
      </c>
      <c r="G3960" s="2" t="str">
        <f>"9780739179079"</f>
        <v>9780739179079</v>
      </c>
      <c r="H3960" s="2" t="s">
        <v>14</v>
      </c>
      <c r="I3960" s="4">
        <v>43076.865277777775</v>
      </c>
      <c r="J3960" s="2" t="s">
        <v>10243</v>
      </c>
    </row>
    <row r="3961" spans="1:10" ht="135" x14ac:dyDescent="0.25">
      <c r="A3961" s="2" t="s">
        <v>1806</v>
      </c>
      <c r="B3961" s="2" t="s">
        <v>1807</v>
      </c>
      <c r="C3961" s="2" t="s">
        <v>1808</v>
      </c>
      <c r="D3961" s="2" t="s">
        <v>1805</v>
      </c>
      <c r="E3961" s="2" t="s">
        <v>17</v>
      </c>
      <c r="F3961" s="3">
        <v>42826</v>
      </c>
      <c r="G3961" s="2" t="str">
        <f>"9781137413024"</f>
        <v>9781137413024</v>
      </c>
      <c r="H3961" s="2" t="s">
        <v>14</v>
      </c>
      <c r="I3961" s="4">
        <v>43926.727777777778</v>
      </c>
      <c r="J3961" s="2" t="s">
        <v>1809</v>
      </c>
    </row>
    <row r="3962" spans="1:10" ht="135" x14ac:dyDescent="0.25">
      <c r="A3962" s="2" t="s">
        <v>1806</v>
      </c>
      <c r="B3962" s="2">
        <v>303.483</v>
      </c>
      <c r="C3962" s="2" t="s">
        <v>1878</v>
      </c>
      <c r="D3962" s="2" t="s">
        <v>1877</v>
      </c>
      <c r="E3962" s="2" t="s">
        <v>397</v>
      </c>
      <c r="F3962" s="3">
        <v>43732</v>
      </c>
      <c r="G3962" s="2" t="str">
        <f>"9780822987093"</f>
        <v>9780822987093</v>
      </c>
      <c r="H3962" s="2" t="s">
        <v>14</v>
      </c>
      <c r="I3962" s="4">
        <v>43923.481249999997</v>
      </c>
      <c r="J3962" s="2" t="s">
        <v>1879</v>
      </c>
    </row>
    <row r="3963" spans="1:10" ht="135" x14ac:dyDescent="0.25">
      <c r="A3963" s="2" t="s">
        <v>1806</v>
      </c>
      <c r="B3963" s="2" t="s">
        <v>6504</v>
      </c>
      <c r="C3963" s="2" t="s">
        <v>6505</v>
      </c>
      <c r="D3963" s="2" t="s">
        <v>6503</v>
      </c>
      <c r="E3963" s="2" t="s">
        <v>156</v>
      </c>
      <c r="F3963" s="3">
        <v>43192</v>
      </c>
      <c r="G3963" s="2" t="str">
        <f>"9781469636429"</f>
        <v>9781469636429</v>
      </c>
      <c r="H3963" s="2" t="s">
        <v>14</v>
      </c>
      <c r="I3963" s="4">
        <v>43512.775000000001</v>
      </c>
      <c r="J3963" s="2" t="s">
        <v>6506</v>
      </c>
    </row>
    <row r="3964" spans="1:10" ht="135" x14ac:dyDescent="0.25">
      <c r="A3964" s="2" t="s">
        <v>9909</v>
      </c>
      <c r="B3964" s="2" t="s">
        <v>9910</v>
      </c>
      <c r="C3964" s="2" t="s">
        <v>9911</v>
      </c>
      <c r="D3964" s="2" t="s">
        <v>9908</v>
      </c>
      <c r="E3964" s="2" t="s">
        <v>216</v>
      </c>
      <c r="F3964" s="3">
        <v>42675</v>
      </c>
      <c r="G3964" s="2" t="str">
        <f>"9781438462141"</f>
        <v>9781438462141</v>
      </c>
      <c r="H3964" s="2" t="s">
        <v>14</v>
      </c>
      <c r="I3964" s="4">
        <v>43121.720833333333</v>
      </c>
      <c r="J3964" s="2" t="s">
        <v>9912</v>
      </c>
    </row>
    <row r="3965" spans="1:10" ht="135" x14ac:dyDescent="0.25">
      <c r="A3965" s="2" t="s">
        <v>805</v>
      </c>
      <c r="B3965" s="2" t="s">
        <v>806</v>
      </c>
      <c r="C3965" s="2" t="s">
        <v>807</v>
      </c>
      <c r="D3965" s="2" t="s">
        <v>804</v>
      </c>
      <c r="E3965" s="2" t="s">
        <v>578</v>
      </c>
      <c r="F3965" s="3">
        <v>42480</v>
      </c>
      <c r="G3965" s="2" t="str">
        <f>"9780252098444"</f>
        <v>9780252098444</v>
      </c>
      <c r="H3965" s="2" t="s">
        <v>14</v>
      </c>
      <c r="I3965" s="4">
        <v>43985.512499999997</v>
      </c>
      <c r="J3965" s="2" t="s">
        <v>808</v>
      </c>
    </row>
    <row r="3966" spans="1:10" ht="135" x14ac:dyDescent="0.25">
      <c r="A3966" s="2" t="s">
        <v>481</v>
      </c>
      <c r="B3966" s="2">
        <v>793.31953999999996</v>
      </c>
      <c r="C3966" s="2" t="s">
        <v>482</v>
      </c>
      <c r="D3966" s="2" t="s">
        <v>480</v>
      </c>
      <c r="E3966" s="2" t="s">
        <v>109</v>
      </c>
      <c r="F3966" s="3">
        <v>43699</v>
      </c>
      <c r="G3966" s="2" t="str">
        <f>"9780819578884"</f>
        <v>9780819578884</v>
      </c>
      <c r="H3966" s="2" t="s">
        <v>14</v>
      </c>
      <c r="I3966" s="4">
        <v>44020.322916666664</v>
      </c>
      <c r="J3966" s="2" t="s">
        <v>483</v>
      </c>
    </row>
    <row r="3967" spans="1:10" ht="135" x14ac:dyDescent="0.25">
      <c r="A3967" s="2" t="s">
        <v>481</v>
      </c>
      <c r="B3967" s="2">
        <v>793.31966299999999</v>
      </c>
      <c r="C3967" s="2" t="s">
        <v>10609</v>
      </c>
      <c r="D3967" s="2" t="s">
        <v>10608</v>
      </c>
      <c r="E3967" s="2" t="s">
        <v>89</v>
      </c>
      <c r="F3967" s="3">
        <v>41579</v>
      </c>
      <c r="G3967" s="2" t="str">
        <f>"9781782381488"</f>
        <v>9781782381488</v>
      </c>
      <c r="H3967" s="2" t="s">
        <v>14</v>
      </c>
      <c r="I3967" s="4">
        <v>43047.529166666667</v>
      </c>
      <c r="J3967" s="2" t="s">
        <v>10610</v>
      </c>
    </row>
    <row r="3968" spans="1:10" ht="135" x14ac:dyDescent="0.25">
      <c r="A3968" s="2" t="s">
        <v>481</v>
      </c>
      <c r="B3968" s="2">
        <v>793.30700000000002</v>
      </c>
      <c r="C3968" s="2" t="s">
        <v>503</v>
      </c>
      <c r="D3968" s="2" t="s">
        <v>502</v>
      </c>
      <c r="E3968" s="2" t="s">
        <v>58</v>
      </c>
      <c r="F3968" s="3">
        <v>43844</v>
      </c>
      <c r="G3968" s="2" t="str">
        <f>"9780299322434"</f>
        <v>9780299322434</v>
      </c>
      <c r="H3968" s="2" t="s">
        <v>14</v>
      </c>
      <c r="I3968" s="4">
        <v>44017.329861111109</v>
      </c>
      <c r="J3968" s="2" t="s">
        <v>504</v>
      </c>
    </row>
    <row r="3969" spans="1:10" ht="135" x14ac:dyDescent="0.25">
      <c r="A3969" s="2" t="s">
        <v>481</v>
      </c>
      <c r="B3969" s="2" t="s">
        <v>9562</v>
      </c>
      <c r="C3969" s="2" t="s">
        <v>9563</v>
      </c>
      <c r="D3969" s="2" t="s">
        <v>9561</v>
      </c>
      <c r="E3969" s="2" t="s">
        <v>69</v>
      </c>
      <c r="F3969" s="3">
        <v>42254</v>
      </c>
      <c r="G3969" s="2" t="str">
        <f>"9780253017499"</f>
        <v>9780253017499</v>
      </c>
      <c r="H3969" s="2" t="s">
        <v>14</v>
      </c>
      <c r="I3969" s="4">
        <v>43154.134722222225</v>
      </c>
      <c r="J3969" s="2" t="s">
        <v>9564</v>
      </c>
    </row>
    <row r="3970" spans="1:10" ht="135" x14ac:dyDescent="0.25">
      <c r="A3970" s="2" t="s">
        <v>481</v>
      </c>
      <c r="B3970" s="2">
        <v>796.08996073000003</v>
      </c>
      <c r="C3970" s="2" t="s">
        <v>7752</v>
      </c>
      <c r="D3970" s="2" t="s">
        <v>7751</v>
      </c>
      <c r="E3970" s="2" t="s">
        <v>50</v>
      </c>
      <c r="F3970" s="3">
        <v>42979</v>
      </c>
      <c r="G3970" s="2" t="str">
        <f>"9781496202864"</f>
        <v>9781496202864</v>
      </c>
      <c r="H3970" s="2" t="s">
        <v>14</v>
      </c>
      <c r="I3970" s="4">
        <v>43391.868055555555</v>
      </c>
      <c r="J3970" s="2" t="s">
        <v>7753</v>
      </c>
    </row>
    <row r="3971" spans="1:10" ht="135" x14ac:dyDescent="0.25">
      <c r="A3971" s="2" t="s">
        <v>481</v>
      </c>
      <c r="B3971" s="2">
        <v>796</v>
      </c>
      <c r="C3971" s="2" t="s">
        <v>2444</v>
      </c>
      <c r="D3971" s="2" t="s">
        <v>2443</v>
      </c>
      <c r="E3971" s="2" t="s">
        <v>54</v>
      </c>
      <c r="F3971" s="3">
        <v>43809</v>
      </c>
      <c r="G3971" s="2" t="str">
        <f>"9781503611016"</f>
        <v>9781503611016</v>
      </c>
      <c r="H3971" s="2" t="s">
        <v>14</v>
      </c>
      <c r="I3971" s="4">
        <v>43885.449305555558</v>
      </c>
      <c r="J3971" s="2" t="s">
        <v>2445</v>
      </c>
    </row>
    <row r="3972" spans="1:10" ht="135" x14ac:dyDescent="0.25">
      <c r="A3972" s="2" t="s">
        <v>2754</v>
      </c>
      <c r="B3972" s="2" t="s">
        <v>10104</v>
      </c>
      <c r="C3972" s="2" t="s">
        <v>10105</v>
      </c>
      <c r="D3972" s="2" t="s">
        <v>10103</v>
      </c>
      <c r="E3972" s="2" t="s">
        <v>164</v>
      </c>
      <c r="F3972" s="3">
        <v>42461</v>
      </c>
      <c r="G3972" s="2" t="str">
        <f>"9780826356673"</f>
        <v>9780826356673</v>
      </c>
      <c r="H3972" s="2" t="s">
        <v>14</v>
      </c>
      <c r="I3972" s="4">
        <v>43102.67083333333</v>
      </c>
      <c r="J3972" s="2" t="s">
        <v>10106</v>
      </c>
    </row>
    <row r="3973" spans="1:10" ht="135" x14ac:dyDescent="0.25">
      <c r="A3973" s="2" t="s">
        <v>2754</v>
      </c>
      <c r="B3973" s="2">
        <v>792.80921999999998</v>
      </c>
      <c r="C3973" s="2" t="s">
        <v>2755</v>
      </c>
      <c r="D3973" s="2" t="s">
        <v>2753</v>
      </c>
      <c r="E3973" s="2" t="s">
        <v>578</v>
      </c>
      <c r="F3973" s="3">
        <v>43683</v>
      </c>
      <c r="G3973" s="2" t="str">
        <f>"9780252051463"</f>
        <v>9780252051463</v>
      </c>
      <c r="H3973" s="2" t="s">
        <v>14</v>
      </c>
      <c r="I3973" s="4">
        <v>43859.446527777778</v>
      </c>
      <c r="J3973" s="2" t="s">
        <v>2756</v>
      </c>
    </row>
    <row r="3974" spans="1:10" ht="135" x14ac:dyDescent="0.25">
      <c r="A3974" s="2" t="s">
        <v>2077</v>
      </c>
      <c r="B3974" s="2">
        <v>70.449796000000006</v>
      </c>
      <c r="C3974" s="2" t="s">
        <v>2078</v>
      </c>
      <c r="D3974" s="2" t="s">
        <v>2076</v>
      </c>
      <c r="E3974" s="2" t="s">
        <v>50</v>
      </c>
      <c r="F3974" s="3">
        <v>42370</v>
      </c>
      <c r="G3974" s="2" t="str">
        <f>"9780803285262"</f>
        <v>9780803285262</v>
      </c>
      <c r="H3974" s="2" t="s">
        <v>14</v>
      </c>
      <c r="I3974" s="4">
        <v>43915.463888888888</v>
      </c>
      <c r="J3974" s="2" t="s">
        <v>2079</v>
      </c>
    </row>
    <row r="3975" spans="1:10" ht="135" x14ac:dyDescent="0.25">
      <c r="A3975" s="2" t="s">
        <v>314</v>
      </c>
      <c r="B3975" s="2" t="s">
        <v>315</v>
      </c>
      <c r="C3975" s="2" t="s">
        <v>316</v>
      </c>
      <c r="D3975" s="2" t="s">
        <v>313</v>
      </c>
      <c r="E3975" s="2" t="s">
        <v>105</v>
      </c>
      <c r="F3975" s="3">
        <v>43435</v>
      </c>
      <c r="G3975" s="2" t="str">
        <f>"9781610756525"</f>
        <v>9781610756525</v>
      </c>
      <c r="H3975" s="2" t="s">
        <v>14</v>
      </c>
      <c r="I3975" s="4">
        <v>44041.442361111112</v>
      </c>
      <c r="J3975" s="2" t="s">
        <v>317</v>
      </c>
    </row>
    <row r="3976" spans="1:10" ht="135" x14ac:dyDescent="0.25">
      <c r="A3976" s="2" t="s">
        <v>314</v>
      </c>
      <c r="B3976" s="2" t="s">
        <v>315</v>
      </c>
      <c r="C3976" s="2" t="s">
        <v>11443</v>
      </c>
      <c r="D3976" s="2" t="s">
        <v>11442</v>
      </c>
      <c r="E3976" s="2" t="s">
        <v>4660</v>
      </c>
      <c r="F3976" s="3">
        <v>41905</v>
      </c>
      <c r="G3976" s="2" t="str">
        <f>"9780813145655"</f>
        <v>9780813145655</v>
      </c>
      <c r="H3976" s="2" t="s">
        <v>14</v>
      </c>
      <c r="I3976" s="4">
        <v>42968.563194444447</v>
      </c>
      <c r="J3976" s="2" t="s">
        <v>11444</v>
      </c>
    </row>
    <row r="3977" spans="1:10" ht="135" x14ac:dyDescent="0.25">
      <c r="A3977" s="2" t="s">
        <v>314</v>
      </c>
      <c r="B3977" s="2" t="s">
        <v>7851</v>
      </c>
      <c r="C3977" s="2" t="s">
        <v>7852</v>
      </c>
      <c r="D3977" s="2" t="s">
        <v>7850</v>
      </c>
      <c r="E3977" s="2" t="s">
        <v>69</v>
      </c>
      <c r="F3977" s="3">
        <v>42919</v>
      </c>
      <c r="G3977" s="2" t="str">
        <f>"9780253026606"</f>
        <v>9780253026606</v>
      </c>
      <c r="H3977" s="2" t="s">
        <v>14</v>
      </c>
      <c r="I3977" s="4">
        <v>43384.563888888886</v>
      </c>
      <c r="J3977" s="2" t="s">
        <v>7853</v>
      </c>
    </row>
  </sheetData>
  <sortState ref="A2:AX3979">
    <sortCondition ref="A2:A3979"/>
    <sortCondition ref="D2:D397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ExpenditureReport_799491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Jones</dc:creator>
  <cp:lastModifiedBy>Lindsay Jones</cp:lastModifiedBy>
  <dcterms:created xsi:type="dcterms:W3CDTF">2020-09-02T13:40:16Z</dcterms:created>
  <dcterms:modified xsi:type="dcterms:W3CDTF">2020-09-02T13:40:17Z</dcterms:modified>
</cp:coreProperties>
</file>